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C:\Users\012\Desktop\外皮ver2.3\"/>
    </mc:Choice>
  </mc:AlternateContent>
  <xr:revisionPtr revIDLastSave="0" documentId="13_ncr:1_{4D061B12-D520-4952-9DB6-997770B44C2E}" xr6:coauthVersionLast="46" xr6:coauthVersionMax="47" xr10:uidLastSave="{00000000-0000-0000-0000-000000000000}"/>
  <bookViews>
    <workbookView xWindow="-120" yWindow="-120" windowWidth="29040" windowHeight="15840" tabRatio="976" xr2:uid="{00000000-000D-0000-FFFF-FFFF00000000}"/>
  </bookViews>
  <sheets>
    <sheet name="はじめに（お読みください）" sheetId="111" r:id="rId1"/>
    <sheet name="共通条件・結果" sheetId="131" r:id="rId2"/>
    <sheet name="Ａ（北）" sheetId="112" r:id="rId3"/>
    <sheet name="Ａ（北東）" sheetId="121" r:id="rId4"/>
    <sheet name="Ａ（東）" sheetId="122" r:id="rId5"/>
    <sheet name="Ａ（南東）" sheetId="123" r:id="rId6"/>
    <sheet name="Ａ（南）" sheetId="124" r:id="rId7"/>
    <sheet name="Ａ（南西）" sheetId="125" r:id="rId8"/>
    <sheet name="Ａ（西）" sheetId="126" r:id="rId9"/>
    <sheet name="Ａ（北西）" sheetId="127" r:id="rId10"/>
    <sheet name="Ｂ（屋根・床等）" sheetId="110" r:id="rId11"/>
    <sheet name="Ｃ（基礎）" sheetId="130" r:id="rId12"/>
    <sheet name="【付録】" sheetId="129" r:id="rId13"/>
    <sheet name="更新履歴" sheetId="128" r:id="rId14"/>
  </sheets>
  <externalReferences>
    <externalReference r:id="rId15"/>
    <externalReference r:id="rId16"/>
    <externalReference r:id="rId17"/>
    <externalReference r:id="rId18"/>
  </externalReferences>
  <definedNames>
    <definedName name="_xlnm.Print_Area" localSheetId="12">【付録】!$A$1:$AC$45</definedName>
    <definedName name="_xlnm.Print_Area" localSheetId="8">'Ａ（西）'!$B$2:$AB$46</definedName>
    <definedName name="_xlnm.Print_Area" localSheetId="4">'Ａ（東）'!$B$2:$AB$46</definedName>
    <definedName name="_xlnm.Print_Area" localSheetId="6">'Ａ（南）'!$B$2:$AB$46</definedName>
    <definedName name="_xlnm.Print_Area" localSheetId="7">'Ａ（南西）'!$B$2:$AB$46</definedName>
    <definedName name="_xlnm.Print_Area" localSheetId="5">'Ａ（南東）'!$B$2:$AB$46</definedName>
    <definedName name="_xlnm.Print_Area" localSheetId="2">'Ａ（北）'!$B$2:$AB$46</definedName>
    <definedName name="_xlnm.Print_Area" localSheetId="9">'Ａ（北西）'!$B$2:$AB$46</definedName>
    <definedName name="_xlnm.Print_Area" localSheetId="3">'Ａ（北東）'!$B$2:$AB$46</definedName>
    <definedName name="_xlnm.Print_Area" localSheetId="10">'Ｂ（屋根・床等）'!$B$2:$AA$35</definedName>
    <definedName name="_xlnm.Print_Area" localSheetId="11">'Ｃ（基礎）'!$B$2:$AC$46</definedName>
    <definedName name="_xlnm.Print_Area" localSheetId="0">'はじめに（お読みください）'!$A$1:$B$8</definedName>
    <definedName name="_xlnm.Print_Area" localSheetId="1">共通条件・結果!$B$2:$AC$28</definedName>
    <definedName name="_xlnm.Print_Area" localSheetId="13">更新履歴!$A$1:$F$17</definedName>
    <definedName name="温度差係数">'Ｂ（屋根・床等）'!$AD$19:$AD$20</definedName>
    <definedName name="夏方位係数" localSheetId="12">#REF!</definedName>
    <definedName name="夏方位係数" localSheetId="8">'[1]Ｃ（基礎）'!$AM$29:$AN$36</definedName>
    <definedName name="夏方位係数" localSheetId="4">'[1]Ｃ（基礎）'!$AM$29:$AN$36</definedName>
    <definedName name="夏方位係数" localSheetId="6">'[1]Ｃ（基礎）'!$AM$29:$AN$36</definedName>
    <definedName name="夏方位係数" localSheetId="7">'[1]Ｃ（基礎）'!$AM$29:$AN$36</definedName>
    <definedName name="夏方位係数" localSheetId="5">'[1]Ｃ（基礎）'!$AM$29:$AN$36</definedName>
    <definedName name="夏方位係数" localSheetId="2">'[1]Ｃ（基礎）'!$AM$29:$AN$36</definedName>
    <definedName name="夏方位係数" localSheetId="9">'[1]Ｃ（基礎）'!$AM$29:$AN$36</definedName>
    <definedName name="夏方位係数" localSheetId="3">'[1]Ｃ（基礎）'!$AM$29:$AN$36</definedName>
    <definedName name="夏方位係数" localSheetId="11">'Ｃ（基礎）'!$AM$35:$AN$42</definedName>
    <definedName name="夏方位係数" localSheetId="1">'[2]Ｃ（基礎）'!$AM$35:$AN$42</definedName>
    <definedName name="夏方位係数" localSheetId="13">'[3]Ｃ（基礎）'!$AM$29:$AN$36</definedName>
    <definedName name="夏方位係数">#REF!</definedName>
    <definedName name="冬方位係数" localSheetId="12">#REF!</definedName>
    <definedName name="冬方位係数" localSheetId="8">'[1]Ｃ（基礎）'!$AO$29:$AP$36</definedName>
    <definedName name="冬方位係数" localSheetId="4">'[1]Ｃ（基礎）'!$AO$29:$AP$36</definedName>
    <definedName name="冬方位係数" localSheetId="6">'[1]Ｃ（基礎）'!$AO$29:$AP$36</definedName>
    <definedName name="冬方位係数" localSheetId="7">'[1]Ｃ（基礎）'!$AO$29:$AP$36</definedName>
    <definedName name="冬方位係数" localSheetId="5">'[1]Ｃ（基礎）'!$AO$29:$AP$36</definedName>
    <definedName name="冬方位係数" localSheetId="2">'[1]Ｃ（基礎）'!$AO$29:$AP$36</definedName>
    <definedName name="冬方位係数" localSheetId="9">'[1]Ｃ（基礎）'!$AO$29:$AP$36</definedName>
    <definedName name="冬方位係数" localSheetId="3">'[1]Ｃ（基礎）'!$AO$29:$AP$36</definedName>
    <definedName name="冬方位係数" localSheetId="11">'Ｃ（基礎）'!$AO$35:$AP$42</definedName>
    <definedName name="冬方位係数" localSheetId="1">'[2]Ｃ（基礎）'!$AO$35:$AP$42</definedName>
    <definedName name="冬方位係数" localSheetId="13">'[3]Ｃ（基礎）'!$AO$29:$AP$36</definedName>
    <definedName name="冬方位係数">#REF!</definedName>
    <definedName name="方位" localSheetId="12">[4]新!$AE$35:$AE$42</definedName>
    <definedName name="方位" localSheetId="8">'[1]Ｃ（基礎）'!$AE$29:$AE$36</definedName>
    <definedName name="方位" localSheetId="4">'[1]Ｃ（基礎）'!$AE$29:$AE$36</definedName>
    <definedName name="方位" localSheetId="6">'[1]Ｃ（基礎）'!$AE$29:$AE$36</definedName>
    <definedName name="方位" localSheetId="7">'[1]Ｃ（基礎）'!$AE$29:$AE$36</definedName>
    <definedName name="方位" localSheetId="5">'[1]Ｃ（基礎）'!$AE$29:$AE$36</definedName>
    <definedName name="方位" localSheetId="2">'[1]Ｃ（基礎）'!$AE$29:$AE$36</definedName>
    <definedName name="方位" localSheetId="9">'[1]Ｃ（基礎）'!$AE$29:$AE$36</definedName>
    <definedName name="方位" localSheetId="3">'[1]Ｃ（基礎）'!$AE$29:$AE$36</definedName>
    <definedName name="方位" localSheetId="11">'Ｃ（基礎）'!$AE$35:$AE$42</definedName>
    <definedName name="方位" localSheetId="1">'[2]Ｃ（基礎）'!$AE$35:$AE$42</definedName>
    <definedName name="方位" localSheetId="13">'[3]Ｃ（基礎）'!$AE$29:$AE$36</definedName>
    <definedName name="方位">#REF!</definedName>
    <definedName name="方位基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5" i="130" l="1"/>
  <c r="P10" i="110"/>
  <c r="P11" i="110"/>
  <c r="P12" i="110"/>
  <c r="P9" i="110"/>
  <c r="P8" i="110"/>
  <c r="AK9" i="125"/>
  <c r="AK10" i="125"/>
  <c r="AK11" i="125"/>
  <c r="AK12" i="125"/>
  <c r="AK13" i="125"/>
  <c r="AK14" i="125"/>
  <c r="AK15" i="125"/>
  <c r="AK16" i="125"/>
  <c r="AK17" i="125"/>
  <c r="AK18" i="125"/>
  <c r="AK19" i="125"/>
  <c r="AK8" i="125"/>
  <c r="AK9" i="124"/>
  <c r="AK10" i="124"/>
  <c r="AK11" i="124"/>
  <c r="AK12" i="124"/>
  <c r="AK13" i="124"/>
  <c r="AK14" i="124"/>
  <c r="AK15" i="124"/>
  <c r="AK16" i="124"/>
  <c r="AK17" i="124"/>
  <c r="AK18" i="124"/>
  <c r="AK19" i="124"/>
  <c r="AK8" i="124"/>
  <c r="AK9" i="123"/>
  <c r="AK10" i="123"/>
  <c r="AK11" i="123"/>
  <c r="AK12" i="123"/>
  <c r="AK13" i="123"/>
  <c r="AK14" i="123"/>
  <c r="AK15" i="123"/>
  <c r="AK16" i="123"/>
  <c r="AK17" i="123"/>
  <c r="AK18" i="123"/>
  <c r="AK19" i="123"/>
  <c r="AK8" i="123"/>
  <c r="R26" i="110" l="1"/>
  <c r="R25" i="110"/>
  <c r="R24" i="110"/>
  <c r="R23" i="110"/>
  <c r="R22" i="110"/>
  <c r="R21" i="110"/>
  <c r="R20" i="110"/>
  <c r="R19" i="110"/>
  <c r="Z28" i="123"/>
  <c r="Z27" i="123"/>
  <c r="Z26" i="123"/>
  <c r="Z28" i="127"/>
  <c r="Z29" i="127" s="1"/>
  <c r="X28" i="127"/>
  <c r="V28" i="127"/>
  <c r="Z27" i="127"/>
  <c r="X27" i="127"/>
  <c r="V27" i="127"/>
  <c r="Z26" i="127"/>
  <c r="X26" i="127"/>
  <c r="V26" i="127"/>
  <c r="Z28" i="126"/>
  <c r="Z29" i="126" s="1"/>
  <c r="X28" i="126"/>
  <c r="V28" i="126"/>
  <c r="Z27" i="126"/>
  <c r="X27" i="126"/>
  <c r="V27" i="126"/>
  <c r="Z26" i="126"/>
  <c r="X26" i="126"/>
  <c r="V26" i="126"/>
  <c r="V29" i="126" s="1"/>
  <c r="Z28" i="125"/>
  <c r="Z29" i="125" s="1"/>
  <c r="X28" i="125"/>
  <c r="V28" i="125"/>
  <c r="Z27" i="125"/>
  <c r="X27" i="125"/>
  <c r="V27" i="125"/>
  <c r="Z26" i="125"/>
  <c r="X26" i="125"/>
  <c r="V26" i="125"/>
  <c r="V29" i="125" s="1"/>
  <c r="Z29" i="124"/>
  <c r="Z28" i="124"/>
  <c r="X28" i="124"/>
  <c r="V28" i="124"/>
  <c r="Z27" i="124"/>
  <c r="X27" i="124"/>
  <c r="V27" i="124"/>
  <c r="Z26" i="124"/>
  <c r="X26" i="124"/>
  <c r="X29" i="124" s="1"/>
  <c r="V26" i="124"/>
  <c r="V29" i="124" s="1"/>
  <c r="X28" i="123"/>
  <c r="V28" i="123"/>
  <c r="Z29" i="123"/>
  <c r="X27" i="123"/>
  <c r="V27" i="123"/>
  <c r="X26" i="123"/>
  <c r="X29" i="123" s="1"/>
  <c r="V26" i="123"/>
  <c r="V29" i="123" s="1"/>
  <c r="Z28" i="122"/>
  <c r="X28" i="122"/>
  <c r="V28" i="122"/>
  <c r="Z27" i="122"/>
  <c r="X27" i="122"/>
  <c r="V27" i="122"/>
  <c r="Z26" i="122"/>
  <c r="Z29" i="122" s="1"/>
  <c r="X26" i="122"/>
  <c r="X29" i="122" s="1"/>
  <c r="V26" i="122"/>
  <c r="V29" i="122" s="1"/>
  <c r="Z29" i="121"/>
  <c r="Z28" i="121"/>
  <c r="X28" i="121"/>
  <c r="V28" i="121"/>
  <c r="Z27" i="121"/>
  <c r="X27" i="121"/>
  <c r="V27" i="121"/>
  <c r="Z26" i="121"/>
  <c r="X26" i="121"/>
  <c r="X29" i="121" s="1"/>
  <c r="V26" i="121"/>
  <c r="X28" i="112"/>
  <c r="V28" i="112"/>
  <c r="X27" i="112"/>
  <c r="V27" i="112"/>
  <c r="X26" i="112"/>
  <c r="V26" i="112"/>
  <c r="V29" i="121" l="1"/>
  <c r="X29" i="125"/>
  <c r="V29" i="127"/>
  <c r="X29" i="127"/>
  <c r="X29" i="126"/>
  <c r="V29" i="112"/>
  <c r="X29" i="112"/>
  <c r="R27" i="110" l="1"/>
  <c r="P13" i="110"/>
  <c r="X4" i="127"/>
  <c r="V4" i="127"/>
  <c r="X4" i="126"/>
  <c r="V4" i="126"/>
  <c r="X4" i="125"/>
  <c r="V4" i="125"/>
  <c r="X4" i="124"/>
  <c r="V4" i="124"/>
  <c r="X4" i="123"/>
  <c r="V4" i="123"/>
  <c r="X4" i="122"/>
  <c r="V4" i="122"/>
  <c r="X4" i="121"/>
  <c r="V4" i="121"/>
  <c r="X4" i="112"/>
  <c r="V4" i="112"/>
  <c r="AG20" i="131"/>
  <c r="AH20" i="131"/>
  <c r="AI20" i="131"/>
  <c r="AJ20" i="131"/>
  <c r="O18" i="131" s="1"/>
  <c r="AK20" i="131"/>
  <c r="AL20" i="131"/>
  <c r="AM20" i="131"/>
  <c r="AN20" i="131"/>
  <c r="O17" i="131" l="1"/>
  <c r="W34" i="110"/>
  <c r="H45" i="130" l="1"/>
  <c r="AK44" i="130"/>
  <c r="AJ44" i="130"/>
  <c r="AH44" i="130"/>
  <c r="W44" i="130"/>
  <c r="T44" i="130"/>
  <c r="Q44" i="130"/>
  <c r="AK43" i="130"/>
  <c r="AJ43" i="130"/>
  <c r="AH43" i="130"/>
  <c r="W43" i="130"/>
  <c r="T43" i="130"/>
  <c r="Q43" i="130"/>
  <c r="AK42" i="130"/>
  <c r="AJ42" i="130"/>
  <c r="AH42" i="130"/>
  <c r="W42" i="130"/>
  <c r="T42" i="130"/>
  <c r="Q42" i="130"/>
  <c r="AK41" i="130"/>
  <c r="AJ41" i="130"/>
  <c r="AH41" i="130"/>
  <c r="W41" i="130"/>
  <c r="T41" i="130"/>
  <c r="Q41" i="130"/>
  <c r="AK40" i="130"/>
  <c r="AJ40" i="130"/>
  <c r="AH40" i="130"/>
  <c r="W40" i="130"/>
  <c r="T40" i="130"/>
  <c r="Q40" i="130"/>
  <c r="AK39" i="130"/>
  <c r="AJ39" i="130"/>
  <c r="AH39" i="130"/>
  <c r="W39" i="130"/>
  <c r="T39" i="130"/>
  <c r="Q39" i="130"/>
  <c r="AK38" i="130"/>
  <c r="AJ38" i="130"/>
  <c r="AH38" i="130"/>
  <c r="W38" i="130"/>
  <c r="T38" i="130"/>
  <c r="Q38" i="130"/>
  <c r="AK37" i="130"/>
  <c r="AJ37" i="130"/>
  <c r="AH37" i="130"/>
  <c r="W37" i="130"/>
  <c r="T37" i="130"/>
  <c r="Q37" i="130"/>
  <c r="AK36" i="130"/>
  <c r="AJ36" i="130"/>
  <c r="AH36" i="130"/>
  <c r="W36" i="130"/>
  <c r="T36" i="130"/>
  <c r="Q36" i="130"/>
  <c r="AK35" i="130"/>
  <c r="AJ35" i="130"/>
  <c r="AH35" i="130"/>
  <c r="W35" i="130"/>
  <c r="T35" i="130"/>
  <c r="Q35" i="130"/>
  <c r="H30" i="130"/>
  <c r="AH29" i="130"/>
  <c r="Q29" i="130"/>
  <c r="D29" i="130"/>
  <c r="B29" i="130"/>
  <c r="AH28" i="130"/>
  <c r="Q28" i="130"/>
  <c r="D28" i="130"/>
  <c r="B28" i="130"/>
  <c r="AH27" i="130"/>
  <c r="Q27" i="130"/>
  <c r="D27" i="130"/>
  <c r="B27" i="130"/>
  <c r="AH26" i="130"/>
  <c r="Q26" i="130"/>
  <c r="D26" i="130"/>
  <c r="B26" i="130"/>
  <c r="AH25" i="130"/>
  <c r="Q25" i="130"/>
  <c r="D25" i="130"/>
  <c r="B25" i="130"/>
  <c r="AH24" i="130"/>
  <c r="Q24" i="130"/>
  <c r="D24" i="130"/>
  <c r="B24" i="130"/>
  <c r="AH23" i="130"/>
  <c r="Q23" i="130"/>
  <c r="D23" i="130"/>
  <c r="B23" i="130"/>
  <c r="AH22" i="130"/>
  <c r="Q22" i="130"/>
  <c r="D22" i="130"/>
  <c r="B22" i="130"/>
  <c r="H15" i="130"/>
  <c r="Q30" i="130" l="1"/>
  <c r="T45" i="130"/>
  <c r="Q45" i="130"/>
  <c r="AJ13" i="129"/>
  <c r="AI13" i="129"/>
  <c r="AH13" i="129"/>
  <c r="AG13" i="129"/>
  <c r="AE13" i="129"/>
  <c r="AF13" i="129" s="1"/>
  <c r="AA13" i="129"/>
  <c r="Y13" i="129"/>
  <c r="AJ12" i="129"/>
  <c r="AI12" i="129"/>
  <c r="AH12" i="129"/>
  <c r="AG12" i="129"/>
  <c r="AE12" i="129"/>
  <c r="AF12" i="129" s="1"/>
  <c r="AA12" i="129"/>
  <c r="Y12" i="129"/>
  <c r="AJ11" i="129"/>
  <c r="AI11" i="129"/>
  <c r="AH11" i="129"/>
  <c r="AG11" i="129"/>
  <c r="AE11" i="129"/>
  <c r="AF11" i="129" s="1"/>
  <c r="AA11" i="129"/>
  <c r="Y11" i="129"/>
  <c r="AJ10" i="129"/>
  <c r="AI10" i="129"/>
  <c r="AH10" i="129"/>
  <c r="AG10" i="129"/>
  <c r="AE10" i="129"/>
  <c r="AF10" i="129" s="1"/>
  <c r="AA10" i="129"/>
  <c r="Y10" i="129"/>
  <c r="AJ9" i="129"/>
  <c r="AI9" i="129"/>
  <c r="AH9" i="129"/>
  <c r="AG9" i="129"/>
  <c r="AE9" i="129"/>
  <c r="AF9" i="129" s="1"/>
  <c r="AA9" i="129"/>
  <c r="Y9" i="129"/>
  <c r="AJ8" i="129"/>
  <c r="AI8" i="129"/>
  <c r="AH8" i="129"/>
  <c r="AG8" i="129"/>
  <c r="AE8" i="129"/>
  <c r="AF8" i="129" s="1"/>
  <c r="AA8" i="129"/>
  <c r="Y8" i="129"/>
  <c r="AJ7" i="129"/>
  <c r="AI7" i="129"/>
  <c r="AH7" i="129"/>
  <c r="AG7" i="129"/>
  <c r="AE7" i="129"/>
  <c r="AF7" i="129" s="1"/>
  <c r="AA7" i="129"/>
  <c r="Y7" i="129"/>
  <c r="AJ6" i="129"/>
  <c r="AI6" i="129"/>
  <c r="AH6" i="129"/>
  <c r="AG6" i="129"/>
  <c r="AE6" i="129"/>
  <c r="AF6" i="129" s="1"/>
  <c r="AA6" i="129"/>
  <c r="Y6" i="129"/>
  <c r="AD9" i="110" l="1"/>
  <c r="AD10" i="110"/>
  <c r="AD11" i="110"/>
  <c r="AD12" i="110"/>
  <c r="AD8" i="110"/>
  <c r="AL8" i="112" l="1"/>
  <c r="AL9" i="112"/>
  <c r="AL10" i="112"/>
  <c r="AL11" i="112"/>
  <c r="AL12" i="112"/>
  <c r="AL13" i="112"/>
  <c r="AL14" i="112"/>
  <c r="AL15" i="112"/>
  <c r="AL16" i="112"/>
  <c r="AL17" i="112"/>
  <c r="AL18" i="112"/>
  <c r="AL19" i="112"/>
  <c r="AL9" i="125"/>
  <c r="AL10" i="125"/>
  <c r="AL11" i="125"/>
  <c r="AL12" i="125"/>
  <c r="AL13" i="125"/>
  <c r="AL14" i="125"/>
  <c r="AL15" i="125"/>
  <c r="AL16" i="125"/>
  <c r="AL17" i="125"/>
  <c r="AL18" i="125"/>
  <c r="AL19" i="125"/>
  <c r="AL8" i="125"/>
  <c r="AL9" i="124"/>
  <c r="AL10" i="124"/>
  <c r="AL11" i="124"/>
  <c r="AL12" i="124"/>
  <c r="AL13" i="124"/>
  <c r="AL14" i="124"/>
  <c r="AL15" i="124"/>
  <c r="AL16" i="124"/>
  <c r="AL17" i="124"/>
  <c r="AL18" i="124"/>
  <c r="AL19" i="124"/>
  <c r="AL8" i="124"/>
  <c r="AL9" i="123"/>
  <c r="AL10" i="123"/>
  <c r="AL11" i="123"/>
  <c r="AL12" i="123"/>
  <c r="AL13" i="123"/>
  <c r="AL14" i="123"/>
  <c r="AL15" i="123"/>
  <c r="AL16" i="123"/>
  <c r="AL17" i="123"/>
  <c r="AL18" i="123"/>
  <c r="AL19" i="123"/>
  <c r="AL8" i="123"/>
  <c r="N8" i="110" l="1"/>
  <c r="N13" i="110" s="1"/>
  <c r="Z18" i="112"/>
  <c r="U43" i="112"/>
  <c r="Q43" i="112"/>
  <c r="AP41" i="130" l="1"/>
  <c r="AN41" i="130"/>
  <c r="AP38" i="130"/>
  <c r="AN38" i="130"/>
  <c r="AP42" i="130"/>
  <c r="AN42" i="130"/>
  <c r="AP35" i="130"/>
  <c r="AN35" i="130"/>
  <c r="AP39" i="130"/>
  <c r="AN39" i="130"/>
  <c r="AP36" i="130"/>
  <c r="AN36" i="130"/>
  <c r="AP40" i="130"/>
  <c r="AN40" i="130"/>
  <c r="AP37" i="130"/>
  <c r="AN37" i="130"/>
  <c r="U43" i="127" l="1"/>
  <c r="Q43" i="127"/>
  <c r="X39" i="127"/>
  <c r="P39" i="127"/>
  <c r="T39" i="127" s="1"/>
  <c r="X38" i="127"/>
  <c r="P38" i="127"/>
  <c r="V38" i="127" s="1"/>
  <c r="X37" i="127"/>
  <c r="P37" i="127"/>
  <c r="V37" i="127" s="1"/>
  <c r="X36" i="127"/>
  <c r="P36" i="127"/>
  <c r="V36" i="127" s="1"/>
  <c r="X35" i="127"/>
  <c r="P35" i="127"/>
  <c r="AO28" i="127"/>
  <c r="AN28" i="127" s="1"/>
  <c r="AO27" i="127"/>
  <c r="AN27" i="127" s="1"/>
  <c r="AO26" i="127"/>
  <c r="AN26" i="127" s="1"/>
  <c r="AO19" i="127"/>
  <c r="AN19" i="127" s="1"/>
  <c r="AL19" i="127"/>
  <c r="AI19" i="127" s="1"/>
  <c r="AK19" i="127"/>
  <c r="AH19" i="127"/>
  <c r="Z19" i="127"/>
  <c r="X19" i="127"/>
  <c r="V19" i="127"/>
  <c r="AO18" i="127"/>
  <c r="AN18" i="127" s="1"/>
  <c r="AL18" i="127"/>
  <c r="AK18" i="127"/>
  <c r="AI18" i="127"/>
  <c r="AH18" i="127"/>
  <c r="Z18" i="127"/>
  <c r="X18" i="127"/>
  <c r="V18" i="127"/>
  <c r="AO17" i="127"/>
  <c r="AN17" i="127" s="1"/>
  <c r="AL17" i="127"/>
  <c r="AI17" i="127" s="1"/>
  <c r="AK17" i="127"/>
  <c r="AH17" i="127"/>
  <c r="AD17" i="127" s="1"/>
  <c r="Z17" i="127"/>
  <c r="X17" i="127"/>
  <c r="V17" i="127"/>
  <c r="AO16" i="127"/>
  <c r="AN16" i="127" s="1"/>
  <c r="AL16" i="127"/>
  <c r="AI16" i="127" s="1"/>
  <c r="AK16" i="127"/>
  <c r="AH16" i="127" s="1"/>
  <c r="Z16" i="127"/>
  <c r="X16" i="127"/>
  <c r="V16" i="127"/>
  <c r="AO15" i="127"/>
  <c r="AN15" i="127" s="1"/>
  <c r="AL15" i="127"/>
  <c r="AK15" i="127"/>
  <c r="AH15" i="127" s="1"/>
  <c r="AI15" i="127"/>
  <c r="Z15" i="127"/>
  <c r="X15" i="127"/>
  <c r="V15" i="127"/>
  <c r="AO14" i="127"/>
  <c r="AN14" i="127" s="1"/>
  <c r="AL14" i="127"/>
  <c r="AI14" i="127" s="1"/>
  <c r="AK14" i="127"/>
  <c r="AH14" i="127" s="1"/>
  <c r="Z14" i="127"/>
  <c r="X14" i="127"/>
  <c r="V14" i="127"/>
  <c r="AO13" i="127"/>
  <c r="AN13" i="127" s="1"/>
  <c r="AL13" i="127"/>
  <c r="AI13" i="127" s="1"/>
  <c r="AK13" i="127"/>
  <c r="AH13" i="127" s="1"/>
  <c r="Z13" i="127"/>
  <c r="AO12" i="127"/>
  <c r="AN12" i="127" s="1"/>
  <c r="AL12" i="127"/>
  <c r="AI12" i="127" s="1"/>
  <c r="AK12" i="127"/>
  <c r="AH12" i="127" s="1"/>
  <c r="Z12" i="127"/>
  <c r="AO11" i="127"/>
  <c r="AN11" i="127" s="1"/>
  <c r="AL11" i="127"/>
  <c r="AI11" i="127" s="1"/>
  <c r="AE11" i="127" s="1"/>
  <c r="X11" i="127" s="1"/>
  <c r="AK11" i="127"/>
  <c r="AH11" i="127" s="1"/>
  <c r="Z11" i="127"/>
  <c r="AO10" i="127"/>
  <c r="AN10" i="127" s="1"/>
  <c r="AL10" i="127"/>
  <c r="AI10" i="127" s="1"/>
  <c r="AK10" i="127"/>
  <c r="AH10" i="127"/>
  <c r="Z10" i="127"/>
  <c r="AO9" i="127"/>
  <c r="AN9" i="127" s="1"/>
  <c r="AL9" i="127"/>
  <c r="AI9" i="127" s="1"/>
  <c r="AK9" i="127"/>
  <c r="AH9" i="127" s="1"/>
  <c r="Z9" i="127"/>
  <c r="AO8" i="127"/>
  <c r="AN8" i="127" s="1"/>
  <c r="AL8" i="127"/>
  <c r="AI8" i="127" s="1"/>
  <c r="AE8" i="127" s="1"/>
  <c r="X8" i="127" s="1"/>
  <c r="AK8" i="127"/>
  <c r="AH8" i="127" s="1"/>
  <c r="Z8" i="127"/>
  <c r="U43" i="126"/>
  <c r="Q43" i="126"/>
  <c r="X39" i="126"/>
  <c r="P39" i="126"/>
  <c r="V39" i="126" s="1"/>
  <c r="X38" i="126"/>
  <c r="P38" i="126"/>
  <c r="V38" i="126" s="1"/>
  <c r="X37" i="126"/>
  <c r="P37" i="126"/>
  <c r="V37" i="126" s="1"/>
  <c r="X36" i="126"/>
  <c r="P36" i="126"/>
  <c r="V36" i="126" s="1"/>
  <c r="X35" i="126"/>
  <c r="X40" i="126" s="1"/>
  <c r="P35" i="126"/>
  <c r="AO28" i="126"/>
  <c r="AN28" i="126" s="1"/>
  <c r="AO27" i="126"/>
  <c r="AN27" i="126" s="1"/>
  <c r="AO26" i="126"/>
  <c r="AN26" i="126" s="1"/>
  <c r="AO19" i="126"/>
  <c r="AN19" i="126" s="1"/>
  <c r="AL19" i="126"/>
  <c r="AI19" i="126" s="1"/>
  <c r="AK19" i="126"/>
  <c r="AH19" i="126"/>
  <c r="Z19" i="126"/>
  <c r="X19" i="126"/>
  <c r="V19" i="126"/>
  <c r="AO18" i="126"/>
  <c r="AN18" i="126" s="1"/>
  <c r="AL18" i="126"/>
  <c r="AI18" i="126" s="1"/>
  <c r="AK18" i="126"/>
  <c r="AH18" i="126"/>
  <c r="Z18" i="126"/>
  <c r="X18" i="126"/>
  <c r="V18" i="126"/>
  <c r="AO17" i="126"/>
  <c r="AN17" i="126" s="1"/>
  <c r="AL17" i="126"/>
  <c r="AI17" i="126" s="1"/>
  <c r="AK17" i="126"/>
  <c r="AH17" i="126" s="1"/>
  <c r="AD17" i="126" s="1"/>
  <c r="Z17" i="126"/>
  <c r="X17" i="126"/>
  <c r="V17" i="126"/>
  <c r="AO16" i="126"/>
  <c r="AN16" i="126" s="1"/>
  <c r="AL16" i="126"/>
  <c r="AK16" i="126"/>
  <c r="AH16" i="126" s="1"/>
  <c r="AI16" i="126"/>
  <c r="Z16" i="126"/>
  <c r="X16" i="126"/>
  <c r="V16" i="126"/>
  <c r="AO15" i="126"/>
  <c r="AN15" i="126" s="1"/>
  <c r="AL15" i="126"/>
  <c r="AK15" i="126"/>
  <c r="AH15" i="126" s="1"/>
  <c r="AI15" i="126"/>
  <c r="Z15" i="126"/>
  <c r="X15" i="126"/>
  <c r="V15" i="126"/>
  <c r="AO14" i="126"/>
  <c r="AN14" i="126" s="1"/>
  <c r="AL14" i="126"/>
  <c r="AI14" i="126" s="1"/>
  <c r="AK14" i="126"/>
  <c r="AH14" i="126" s="1"/>
  <c r="Z14" i="126"/>
  <c r="X14" i="126"/>
  <c r="V14" i="126"/>
  <c r="AO13" i="126"/>
  <c r="AN13" i="126" s="1"/>
  <c r="AL13" i="126"/>
  <c r="AI13" i="126" s="1"/>
  <c r="AK13" i="126"/>
  <c r="AH13" i="126" s="1"/>
  <c r="Z13" i="126"/>
  <c r="AO12" i="126"/>
  <c r="AN12" i="126" s="1"/>
  <c r="AL12" i="126"/>
  <c r="AI12" i="126" s="1"/>
  <c r="AK12" i="126"/>
  <c r="AH12" i="126"/>
  <c r="Z12" i="126"/>
  <c r="AO11" i="126"/>
  <c r="AN11" i="126" s="1"/>
  <c r="AL11" i="126"/>
  <c r="AI11" i="126" s="1"/>
  <c r="AE11" i="126" s="1"/>
  <c r="X11" i="126" s="1"/>
  <c r="AK11" i="126"/>
  <c r="AH11" i="126" s="1"/>
  <c r="Z11" i="126"/>
  <c r="AO10" i="126"/>
  <c r="AN10" i="126" s="1"/>
  <c r="AL10" i="126"/>
  <c r="AI10" i="126" s="1"/>
  <c r="AK10" i="126"/>
  <c r="AH10" i="126"/>
  <c r="Z10" i="126"/>
  <c r="AO9" i="126"/>
  <c r="AN9" i="126" s="1"/>
  <c r="AL9" i="126"/>
  <c r="AI9" i="126" s="1"/>
  <c r="AK9" i="126"/>
  <c r="AH9" i="126" s="1"/>
  <c r="Z9" i="126"/>
  <c r="AO8" i="126"/>
  <c r="AL8" i="126"/>
  <c r="AI8" i="126" s="1"/>
  <c r="AK8" i="126"/>
  <c r="AH8" i="126" s="1"/>
  <c r="AD8" i="126" s="1"/>
  <c r="V8" i="126" s="1"/>
  <c r="U43" i="125"/>
  <c r="Q43" i="125"/>
  <c r="X39" i="125"/>
  <c r="P39" i="125"/>
  <c r="V39" i="125" s="1"/>
  <c r="X38" i="125"/>
  <c r="P38" i="125"/>
  <c r="X37" i="125"/>
  <c r="P37" i="125"/>
  <c r="T37" i="125" s="1"/>
  <c r="X36" i="125"/>
  <c r="P36" i="125"/>
  <c r="V36" i="125" s="1"/>
  <c r="X35" i="125"/>
  <c r="V35" i="125"/>
  <c r="P35" i="125"/>
  <c r="T35" i="125" s="1"/>
  <c r="AO28" i="125"/>
  <c r="AN28" i="125" s="1"/>
  <c r="AO27" i="125"/>
  <c r="AN27" i="125" s="1"/>
  <c r="AO26" i="125"/>
  <c r="AN26" i="125" s="1"/>
  <c r="AO19" i="125"/>
  <c r="AN19" i="125" s="1"/>
  <c r="AI19" i="125"/>
  <c r="AH19" i="125"/>
  <c r="Z19" i="125"/>
  <c r="X19" i="125"/>
  <c r="V19" i="125"/>
  <c r="AO18" i="125"/>
  <c r="AN18" i="125" s="1"/>
  <c r="AI18" i="125"/>
  <c r="AH18" i="125"/>
  <c r="Z18" i="125"/>
  <c r="X18" i="125"/>
  <c r="V18" i="125"/>
  <c r="AO17" i="125"/>
  <c r="AN17" i="125" s="1"/>
  <c r="AI17" i="125"/>
  <c r="AH17" i="125"/>
  <c r="AD17" i="125" s="1"/>
  <c r="Z17" i="125"/>
  <c r="X17" i="125"/>
  <c r="V17" i="125"/>
  <c r="AO16" i="125"/>
  <c r="AN16" i="125" s="1"/>
  <c r="AH16" i="125"/>
  <c r="AI16" i="125"/>
  <c r="Z16" i="125"/>
  <c r="X16" i="125"/>
  <c r="V16" i="125"/>
  <c r="AO15" i="125"/>
  <c r="AN15" i="125" s="1"/>
  <c r="AH15" i="125"/>
  <c r="AI15" i="125"/>
  <c r="Z15" i="125"/>
  <c r="X15" i="125"/>
  <c r="V15" i="125"/>
  <c r="AO14" i="125"/>
  <c r="AN14" i="125" s="1"/>
  <c r="AI14" i="125"/>
  <c r="AH14" i="125"/>
  <c r="Z14" i="125"/>
  <c r="X14" i="125"/>
  <c r="V14" i="125"/>
  <c r="AO13" i="125"/>
  <c r="AN13" i="125" s="1"/>
  <c r="AI13" i="125"/>
  <c r="AH13" i="125"/>
  <c r="Z13" i="125"/>
  <c r="AO12" i="125"/>
  <c r="AN12" i="125" s="1"/>
  <c r="AI12" i="125"/>
  <c r="AH12" i="125"/>
  <c r="Z12" i="125"/>
  <c r="AO11" i="125"/>
  <c r="AN11" i="125" s="1"/>
  <c r="AH11" i="125"/>
  <c r="AI11" i="125"/>
  <c r="Z11" i="125"/>
  <c r="AO10" i="125"/>
  <c r="AN10" i="125" s="1"/>
  <c r="AI10" i="125"/>
  <c r="AH10" i="125"/>
  <c r="Z10" i="125"/>
  <c r="AO9" i="125"/>
  <c r="AN9" i="125" s="1"/>
  <c r="AI9" i="125"/>
  <c r="AH9" i="125"/>
  <c r="Z9" i="125"/>
  <c r="AO8" i="125"/>
  <c r="AN8" i="125" s="1"/>
  <c r="AI8" i="125"/>
  <c r="AE8" i="125" s="1"/>
  <c r="X8" i="125" s="1"/>
  <c r="AH8" i="125"/>
  <c r="Z8" i="125"/>
  <c r="AE14" i="125"/>
  <c r="U43" i="124"/>
  <c r="Q43" i="124"/>
  <c r="X39" i="124"/>
  <c r="P39" i="124"/>
  <c r="T39" i="124" s="1"/>
  <c r="X38" i="124"/>
  <c r="P38" i="124"/>
  <c r="T38" i="124" s="1"/>
  <c r="X37" i="124"/>
  <c r="P37" i="124"/>
  <c r="T37" i="124" s="1"/>
  <c r="X36" i="124"/>
  <c r="P36" i="124"/>
  <c r="V36" i="124" s="1"/>
  <c r="P35" i="124"/>
  <c r="T35" i="124" s="1"/>
  <c r="AO28" i="124"/>
  <c r="AN28" i="124" s="1"/>
  <c r="AO27" i="124"/>
  <c r="AN27" i="124" s="1"/>
  <c r="AO26" i="124"/>
  <c r="AN26" i="124" s="1"/>
  <c r="AO19" i="124"/>
  <c r="AN19" i="124" s="1"/>
  <c r="AI19" i="124"/>
  <c r="AH19" i="124"/>
  <c r="Z19" i="124"/>
  <c r="X19" i="124"/>
  <c r="V19" i="124"/>
  <c r="AO18" i="124"/>
  <c r="AN18" i="124" s="1"/>
  <c r="AI18" i="124"/>
  <c r="AH18" i="124"/>
  <c r="Z18" i="124"/>
  <c r="X18" i="124"/>
  <c r="V18" i="124"/>
  <c r="AO17" i="124"/>
  <c r="AN17" i="124" s="1"/>
  <c r="AI17" i="124"/>
  <c r="AH17" i="124"/>
  <c r="AD17" i="124" s="1"/>
  <c r="Z17" i="124"/>
  <c r="X17" i="124"/>
  <c r="V17" i="124"/>
  <c r="AO16" i="124"/>
  <c r="AN16" i="124" s="1"/>
  <c r="AH16" i="124"/>
  <c r="AI16" i="124"/>
  <c r="Z16" i="124"/>
  <c r="X16" i="124"/>
  <c r="V16" i="124"/>
  <c r="AO15" i="124"/>
  <c r="AN15" i="124" s="1"/>
  <c r="AH15" i="124"/>
  <c r="AI15" i="124"/>
  <c r="Z15" i="124"/>
  <c r="X15" i="124"/>
  <c r="V15" i="124"/>
  <c r="AO14" i="124"/>
  <c r="AN14" i="124" s="1"/>
  <c r="AI14" i="124"/>
  <c r="AH14" i="124"/>
  <c r="Z14" i="124"/>
  <c r="X14" i="124"/>
  <c r="V14" i="124"/>
  <c r="AO13" i="124"/>
  <c r="AI13" i="124"/>
  <c r="AE13" i="124" s="1"/>
  <c r="X13" i="124" s="1"/>
  <c r="AH13" i="124"/>
  <c r="AO12" i="124"/>
  <c r="AI12" i="124"/>
  <c r="AH12" i="124"/>
  <c r="AO11" i="124"/>
  <c r="AI11" i="124"/>
  <c r="AE11" i="124" s="1"/>
  <c r="X11" i="124" s="1"/>
  <c r="AH11" i="124"/>
  <c r="AO10" i="124"/>
  <c r="AI10" i="124"/>
  <c r="AH10" i="124"/>
  <c r="AO9" i="124"/>
  <c r="AI9" i="124"/>
  <c r="AH9" i="124"/>
  <c r="AO8" i="124"/>
  <c r="AH8" i="124"/>
  <c r="AI8" i="124"/>
  <c r="U43" i="123"/>
  <c r="Q43" i="123"/>
  <c r="X39" i="123"/>
  <c r="P39" i="123"/>
  <c r="V39" i="123" s="1"/>
  <c r="X38" i="123"/>
  <c r="P38" i="123"/>
  <c r="V38" i="123" s="1"/>
  <c r="X37" i="123"/>
  <c r="P37" i="123"/>
  <c r="V37" i="123" s="1"/>
  <c r="X36" i="123"/>
  <c r="P36" i="123"/>
  <c r="V36" i="123" s="1"/>
  <c r="X35" i="123"/>
  <c r="P35" i="123"/>
  <c r="AO28" i="123"/>
  <c r="AN28" i="123" s="1"/>
  <c r="AO27" i="123"/>
  <c r="AN27" i="123" s="1"/>
  <c r="AO26" i="123"/>
  <c r="AN26" i="123" s="1"/>
  <c r="AO19" i="123"/>
  <c r="AN19" i="123" s="1"/>
  <c r="AI19" i="123"/>
  <c r="AH19" i="123"/>
  <c r="Z19" i="123"/>
  <c r="X19" i="123"/>
  <c r="V19" i="123"/>
  <c r="AO18" i="123"/>
  <c r="AN18" i="123" s="1"/>
  <c r="AI18" i="123"/>
  <c r="AE18" i="123" s="1"/>
  <c r="AH18" i="123"/>
  <c r="Z18" i="123"/>
  <c r="X18" i="123"/>
  <c r="V18" i="123"/>
  <c r="AO17" i="123"/>
  <c r="AN17" i="123" s="1"/>
  <c r="AI17" i="123"/>
  <c r="AH17" i="123"/>
  <c r="AD17" i="123" s="1"/>
  <c r="Z17" i="123"/>
  <c r="X17" i="123"/>
  <c r="V17" i="123"/>
  <c r="AO16" i="123"/>
  <c r="AN16" i="123" s="1"/>
  <c r="AH16" i="123"/>
  <c r="AI16" i="123"/>
  <c r="Z16" i="123"/>
  <c r="X16" i="123"/>
  <c r="V16" i="123"/>
  <c r="AO15" i="123"/>
  <c r="AN15" i="123" s="1"/>
  <c r="AH15" i="123"/>
  <c r="AI15" i="123"/>
  <c r="Z15" i="123"/>
  <c r="X15" i="123"/>
  <c r="V15" i="123"/>
  <c r="AO14" i="123"/>
  <c r="AN14" i="123" s="1"/>
  <c r="AI14" i="123"/>
  <c r="AH14" i="123"/>
  <c r="AE14" i="123"/>
  <c r="Z14" i="123"/>
  <c r="X14" i="123"/>
  <c r="V14" i="123"/>
  <c r="AO13" i="123"/>
  <c r="AN13" i="123" s="1"/>
  <c r="AI13" i="123"/>
  <c r="AH13" i="123"/>
  <c r="Z13" i="123"/>
  <c r="AO12" i="123"/>
  <c r="AN12" i="123" s="1"/>
  <c r="AI12" i="123"/>
  <c r="AH12" i="123"/>
  <c r="Z12" i="123"/>
  <c r="AO11" i="123"/>
  <c r="AN11" i="123" s="1"/>
  <c r="AI11" i="123"/>
  <c r="AE11" i="123" s="1"/>
  <c r="X11" i="123" s="1"/>
  <c r="AH11" i="123"/>
  <c r="Z11" i="123"/>
  <c r="AO10" i="123"/>
  <c r="AN10" i="123" s="1"/>
  <c r="AI10" i="123"/>
  <c r="AH10" i="123"/>
  <c r="Z10" i="123"/>
  <c r="AO9" i="123"/>
  <c r="AN9" i="123" s="1"/>
  <c r="AI9" i="123"/>
  <c r="AH9" i="123"/>
  <c r="Z9" i="123"/>
  <c r="AO8" i="123"/>
  <c r="AN8" i="123" s="1"/>
  <c r="AH8" i="123"/>
  <c r="AI8" i="123"/>
  <c r="Z8" i="123"/>
  <c r="U43" i="122"/>
  <c r="Q43" i="122"/>
  <c r="X39" i="122"/>
  <c r="P39" i="122"/>
  <c r="V39" i="122" s="1"/>
  <c r="X38" i="122"/>
  <c r="P38" i="122"/>
  <c r="V38" i="122" s="1"/>
  <c r="X37" i="122"/>
  <c r="P37" i="122"/>
  <c r="T37" i="122" s="1"/>
  <c r="X36" i="122"/>
  <c r="P36" i="122"/>
  <c r="V36" i="122" s="1"/>
  <c r="P35" i="122"/>
  <c r="AO28" i="122"/>
  <c r="AN28" i="122" s="1"/>
  <c r="AO27" i="122"/>
  <c r="AN27" i="122" s="1"/>
  <c r="AO26" i="122"/>
  <c r="AN26" i="122" s="1"/>
  <c r="AO19" i="122"/>
  <c r="AN19" i="122" s="1"/>
  <c r="AL19" i="122"/>
  <c r="AK19" i="122"/>
  <c r="AI19" i="122"/>
  <c r="AH19" i="122"/>
  <c r="Z19" i="122"/>
  <c r="X19" i="122"/>
  <c r="V19" i="122"/>
  <c r="AO18" i="122"/>
  <c r="AN18" i="122" s="1"/>
  <c r="AL18" i="122"/>
  <c r="AI18" i="122" s="1"/>
  <c r="AK18" i="122"/>
  <c r="AH18" i="122" s="1"/>
  <c r="Z18" i="122"/>
  <c r="X18" i="122"/>
  <c r="V18" i="122"/>
  <c r="AO17" i="122"/>
  <c r="AN17" i="122" s="1"/>
  <c r="AL17" i="122"/>
  <c r="AK17" i="122"/>
  <c r="AH17" i="122" s="1"/>
  <c r="AI17" i="122"/>
  <c r="AE17" i="122"/>
  <c r="Z17" i="122"/>
  <c r="X17" i="122"/>
  <c r="V17" i="122"/>
  <c r="AO16" i="122"/>
  <c r="AN16" i="122" s="1"/>
  <c r="AL16" i="122"/>
  <c r="AI16" i="122" s="1"/>
  <c r="AK16" i="122"/>
  <c r="AH16" i="122" s="1"/>
  <c r="Z16" i="122"/>
  <c r="X16" i="122"/>
  <c r="V16" i="122"/>
  <c r="AO15" i="122"/>
  <c r="AN15" i="122" s="1"/>
  <c r="AL15" i="122"/>
  <c r="AI15" i="122" s="1"/>
  <c r="AK15" i="122"/>
  <c r="AH15" i="122"/>
  <c r="Z15" i="122"/>
  <c r="X15" i="122"/>
  <c r="V15" i="122"/>
  <c r="AO14" i="122"/>
  <c r="AN14" i="122" s="1"/>
  <c r="AL14" i="122"/>
  <c r="AI14" i="122" s="1"/>
  <c r="AK14" i="122"/>
  <c r="AH14" i="122"/>
  <c r="Z14" i="122"/>
  <c r="X14" i="122"/>
  <c r="V14" i="122"/>
  <c r="AO13" i="122"/>
  <c r="AN13" i="122" s="1"/>
  <c r="AL13" i="122"/>
  <c r="AI13" i="122" s="1"/>
  <c r="AK13" i="122"/>
  <c r="AH13" i="122" s="1"/>
  <c r="AD13" i="122" s="1"/>
  <c r="V13" i="122" s="1"/>
  <c r="Z13" i="122"/>
  <c r="AO12" i="122"/>
  <c r="AN12" i="122" s="1"/>
  <c r="AL12" i="122"/>
  <c r="AI12" i="122" s="1"/>
  <c r="AK12" i="122"/>
  <c r="AH12" i="122" s="1"/>
  <c r="Z12" i="122"/>
  <c r="AO11" i="122"/>
  <c r="AN11" i="122" s="1"/>
  <c r="AL11" i="122"/>
  <c r="AI11" i="122" s="1"/>
  <c r="AK11" i="122"/>
  <c r="AH11" i="122" s="1"/>
  <c r="Z11" i="122"/>
  <c r="AO10" i="122"/>
  <c r="AN10" i="122" s="1"/>
  <c r="AL10" i="122"/>
  <c r="AI10" i="122" s="1"/>
  <c r="AK10" i="122"/>
  <c r="AH10" i="122"/>
  <c r="AD10" i="122" s="1"/>
  <c r="V10" i="122" s="1"/>
  <c r="Z10" i="122"/>
  <c r="AO9" i="122"/>
  <c r="AN9" i="122" s="1"/>
  <c r="AL9" i="122"/>
  <c r="AI9" i="122" s="1"/>
  <c r="AK9" i="122"/>
  <c r="AH9" i="122" s="1"/>
  <c r="Z9" i="122"/>
  <c r="AO8" i="122"/>
  <c r="AN8" i="122" s="1"/>
  <c r="Z8" i="122"/>
  <c r="AL8" i="122"/>
  <c r="AI8" i="122" s="1"/>
  <c r="AK8" i="122"/>
  <c r="AH8" i="122" s="1"/>
  <c r="U43" i="121"/>
  <c r="Q43" i="121"/>
  <c r="X39" i="121"/>
  <c r="P39" i="121"/>
  <c r="T39" i="121" s="1"/>
  <c r="X38" i="121"/>
  <c r="P38" i="121"/>
  <c r="T38" i="121" s="1"/>
  <c r="X37" i="121"/>
  <c r="P37" i="121"/>
  <c r="T37" i="121" s="1"/>
  <c r="X36" i="121"/>
  <c r="P36" i="121"/>
  <c r="V36" i="121" s="1"/>
  <c r="X35" i="121"/>
  <c r="P35" i="121"/>
  <c r="T35" i="121" s="1"/>
  <c r="AO28" i="121"/>
  <c r="AN28" i="121" s="1"/>
  <c r="AO27" i="121"/>
  <c r="AN27" i="121" s="1"/>
  <c r="AO26" i="121"/>
  <c r="AN26" i="121" s="1"/>
  <c r="AO19" i="121"/>
  <c r="AN19" i="121" s="1"/>
  <c r="AL19" i="121"/>
  <c r="AK19" i="121"/>
  <c r="AH19" i="121" s="1"/>
  <c r="AI19" i="121"/>
  <c r="AE19" i="121" s="1"/>
  <c r="Z19" i="121"/>
  <c r="X19" i="121"/>
  <c r="V19" i="121"/>
  <c r="AO18" i="121"/>
  <c r="AN18" i="121" s="1"/>
  <c r="AL18" i="121"/>
  <c r="AI18" i="121" s="1"/>
  <c r="AK18" i="121"/>
  <c r="AH18" i="121" s="1"/>
  <c r="Z18" i="121"/>
  <c r="X18" i="121"/>
  <c r="V18" i="121"/>
  <c r="AO17" i="121"/>
  <c r="AN17" i="121" s="1"/>
  <c r="AL17" i="121"/>
  <c r="AI17" i="121" s="1"/>
  <c r="AK17" i="121"/>
  <c r="AH17" i="121" s="1"/>
  <c r="Z17" i="121"/>
  <c r="X17" i="121"/>
  <c r="V17" i="121"/>
  <c r="AO16" i="121"/>
  <c r="AN16" i="121" s="1"/>
  <c r="AL16" i="121"/>
  <c r="AI16" i="121" s="1"/>
  <c r="AK16" i="121"/>
  <c r="AH16" i="121"/>
  <c r="Z16" i="121"/>
  <c r="X16" i="121"/>
  <c r="V16" i="121"/>
  <c r="AO15" i="121"/>
  <c r="AN15" i="121" s="1"/>
  <c r="AL15" i="121"/>
  <c r="AI15" i="121" s="1"/>
  <c r="AK15" i="121"/>
  <c r="AH15" i="121"/>
  <c r="Z15" i="121"/>
  <c r="X15" i="121"/>
  <c r="V15" i="121"/>
  <c r="AO14" i="121"/>
  <c r="AN14" i="121" s="1"/>
  <c r="AL14" i="121"/>
  <c r="AI14" i="121" s="1"/>
  <c r="AE14" i="121" s="1"/>
  <c r="AK14" i="121"/>
  <c r="AH14" i="121" s="1"/>
  <c r="Z14" i="121"/>
  <c r="X14" i="121"/>
  <c r="V14" i="121"/>
  <c r="AO13" i="121"/>
  <c r="AN13" i="121" s="1"/>
  <c r="AL13" i="121"/>
  <c r="AI13" i="121" s="1"/>
  <c r="AK13" i="121"/>
  <c r="AH13" i="121"/>
  <c r="Z13" i="121"/>
  <c r="AO12" i="121"/>
  <c r="AN12" i="121" s="1"/>
  <c r="AL12" i="121"/>
  <c r="AI12" i="121" s="1"/>
  <c r="AK12" i="121"/>
  <c r="AH12" i="121" s="1"/>
  <c r="Z12" i="121"/>
  <c r="AO11" i="121"/>
  <c r="AN11" i="121" s="1"/>
  <c r="AL11" i="121"/>
  <c r="AK11" i="121"/>
  <c r="AH11" i="121" s="1"/>
  <c r="AD11" i="121" s="1"/>
  <c r="V11" i="121" s="1"/>
  <c r="AI11" i="121"/>
  <c r="Z11" i="121"/>
  <c r="AO10" i="121"/>
  <c r="AN10" i="121" s="1"/>
  <c r="AL10" i="121"/>
  <c r="AI10" i="121" s="1"/>
  <c r="AK10" i="121"/>
  <c r="AH10" i="121" s="1"/>
  <c r="Z10" i="121"/>
  <c r="AO9" i="121"/>
  <c r="AN9" i="121" s="1"/>
  <c r="AL9" i="121"/>
  <c r="AI9" i="121" s="1"/>
  <c r="AK9" i="121"/>
  <c r="AH9" i="121" s="1"/>
  <c r="Z9" i="121"/>
  <c r="AO8" i="121"/>
  <c r="AL8" i="121"/>
  <c r="AI8" i="121" s="1"/>
  <c r="AK8" i="121"/>
  <c r="AH8" i="121"/>
  <c r="X39" i="112"/>
  <c r="P39" i="112"/>
  <c r="V39" i="112" s="1"/>
  <c r="X38" i="112"/>
  <c r="P38" i="112"/>
  <c r="T38" i="112" s="1"/>
  <c r="X37" i="112"/>
  <c r="P37" i="112"/>
  <c r="T37" i="112" s="1"/>
  <c r="X36" i="112"/>
  <c r="P36" i="112"/>
  <c r="V36" i="112" s="1"/>
  <c r="X35" i="112"/>
  <c r="P35" i="112"/>
  <c r="AO28" i="112"/>
  <c r="AN28" i="112" s="1"/>
  <c r="Z28" i="112" s="1"/>
  <c r="AO27" i="112"/>
  <c r="AN27" i="112" s="1"/>
  <c r="Z27" i="112" s="1"/>
  <c r="AO26" i="112"/>
  <c r="AO19" i="112"/>
  <c r="AN19" i="112" s="1"/>
  <c r="AK19" i="112"/>
  <c r="AH19" i="112" s="1"/>
  <c r="AI19" i="112"/>
  <c r="Z19" i="112"/>
  <c r="X19" i="112"/>
  <c r="V19" i="112"/>
  <c r="AO18" i="112"/>
  <c r="AN18" i="112" s="1"/>
  <c r="AI18" i="112"/>
  <c r="AK18" i="112"/>
  <c r="AH18" i="112" s="1"/>
  <c r="X18" i="112"/>
  <c r="V18" i="112"/>
  <c r="AO17" i="112"/>
  <c r="AN17" i="112" s="1"/>
  <c r="AI17" i="112"/>
  <c r="AK17" i="112"/>
  <c r="AH17" i="112" s="1"/>
  <c r="AD17" i="112" s="1"/>
  <c r="Z17" i="112"/>
  <c r="X17" i="112"/>
  <c r="V17" i="112"/>
  <c r="AO16" i="112"/>
  <c r="AN16" i="112" s="1"/>
  <c r="AK16" i="112"/>
  <c r="AH16" i="112" s="1"/>
  <c r="AI16" i="112"/>
  <c r="Z16" i="112"/>
  <c r="X16" i="112"/>
  <c r="V16" i="112"/>
  <c r="AO15" i="112"/>
  <c r="AN15" i="112" s="1"/>
  <c r="AI15" i="112"/>
  <c r="AK15" i="112"/>
  <c r="AH15" i="112" s="1"/>
  <c r="Z15" i="112"/>
  <c r="X15" i="112"/>
  <c r="V15" i="112"/>
  <c r="AO14" i="112"/>
  <c r="AN14" i="112" s="1"/>
  <c r="AK14" i="112"/>
  <c r="AH14" i="112" s="1"/>
  <c r="AI14" i="112"/>
  <c r="AE14" i="112" s="1"/>
  <c r="Z14" i="112"/>
  <c r="X14" i="112"/>
  <c r="V14" i="112"/>
  <c r="AO13" i="112"/>
  <c r="AN13" i="112" s="1"/>
  <c r="AI13" i="112"/>
  <c r="AK13" i="112"/>
  <c r="AH13" i="112" s="1"/>
  <c r="Z13" i="112"/>
  <c r="AO12" i="112"/>
  <c r="AK12" i="112"/>
  <c r="AH12" i="112" s="1"/>
  <c r="AI12" i="112"/>
  <c r="AO11" i="112"/>
  <c r="AK11" i="112"/>
  <c r="AH11" i="112" s="1"/>
  <c r="AI11" i="112"/>
  <c r="AO10" i="112"/>
  <c r="AI10" i="112"/>
  <c r="AK10" i="112"/>
  <c r="AH10" i="112" s="1"/>
  <c r="AO9" i="112"/>
  <c r="AK9" i="112"/>
  <c r="AH9" i="112" s="1"/>
  <c r="AI9" i="112"/>
  <c r="AO8" i="112"/>
  <c r="AN8" i="112" s="1"/>
  <c r="AI8" i="112"/>
  <c r="AE8" i="112" s="1"/>
  <c r="X8" i="112" s="1"/>
  <c r="AK8" i="112"/>
  <c r="AH8" i="112" s="1"/>
  <c r="N12" i="110"/>
  <c r="N11" i="110"/>
  <c r="N10" i="110"/>
  <c r="N9" i="110"/>
  <c r="Z8" i="126" l="1"/>
  <c r="AN8" i="126"/>
  <c r="T36" i="125"/>
  <c r="Y43" i="125"/>
  <c r="V39" i="124"/>
  <c r="T36" i="124"/>
  <c r="V38" i="124"/>
  <c r="T38" i="123"/>
  <c r="T36" i="123"/>
  <c r="T36" i="122"/>
  <c r="T38" i="122"/>
  <c r="Z8" i="121"/>
  <c r="AN8" i="121"/>
  <c r="T36" i="112"/>
  <c r="Z11" i="112"/>
  <c r="AN11" i="112"/>
  <c r="Z10" i="112"/>
  <c r="AN10" i="112"/>
  <c r="AN26" i="112"/>
  <c r="Z26" i="112" s="1"/>
  <c r="Z29" i="112" s="1"/>
  <c r="V37" i="112"/>
  <c r="Z12" i="112"/>
  <c r="AN12" i="112"/>
  <c r="T39" i="112"/>
  <c r="Z9" i="112"/>
  <c r="AN9" i="112"/>
  <c r="Y43" i="112"/>
  <c r="L43" i="112" s="1"/>
  <c r="X40" i="112"/>
  <c r="Z10" i="124"/>
  <c r="AN10" i="124"/>
  <c r="Z12" i="124"/>
  <c r="AN12" i="124"/>
  <c r="Z11" i="124"/>
  <c r="AN11" i="124"/>
  <c r="Z9" i="124"/>
  <c r="AN9" i="124"/>
  <c r="Z13" i="124"/>
  <c r="AN13" i="124"/>
  <c r="Z8" i="124"/>
  <c r="AN8" i="124"/>
  <c r="T35" i="112"/>
  <c r="V35" i="121"/>
  <c r="X40" i="121"/>
  <c r="V37" i="122"/>
  <c r="X40" i="125"/>
  <c r="T38" i="125"/>
  <c r="T36" i="126"/>
  <c r="T36" i="127"/>
  <c r="V39" i="121"/>
  <c r="Y43" i="122"/>
  <c r="L43" i="122" s="1"/>
  <c r="T37" i="123"/>
  <c r="V38" i="125"/>
  <c r="T39" i="126"/>
  <c r="V39" i="127"/>
  <c r="X35" i="122"/>
  <c r="X40" i="122" s="1"/>
  <c r="V37" i="124"/>
  <c r="Y43" i="123"/>
  <c r="V37" i="121"/>
  <c r="X40" i="123"/>
  <c r="Y43" i="127"/>
  <c r="L43" i="127" s="1"/>
  <c r="X35" i="124"/>
  <c r="X40" i="124" s="1"/>
  <c r="V37" i="125"/>
  <c r="V40" i="125" s="1"/>
  <c r="Y43" i="126"/>
  <c r="L43" i="126" s="1"/>
  <c r="T38" i="126"/>
  <c r="V35" i="127"/>
  <c r="T38" i="127"/>
  <c r="X40" i="127"/>
  <c r="L43" i="125"/>
  <c r="Z8" i="112"/>
  <c r="Z20" i="112" s="1"/>
  <c r="T35" i="126"/>
  <c r="V35" i="126"/>
  <c r="V40" i="126" s="1"/>
  <c r="V35" i="124"/>
  <c r="V40" i="124" s="1"/>
  <c r="Y43" i="124"/>
  <c r="L43" i="124" s="1"/>
  <c r="V35" i="112"/>
  <c r="AE17" i="124"/>
  <c r="AD11" i="125"/>
  <c r="V11" i="125" s="1"/>
  <c r="AE14" i="124"/>
  <c r="AE17" i="127"/>
  <c r="AE11" i="121"/>
  <c r="X11" i="121" s="1"/>
  <c r="AE11" i="112"/>
  <c r="X11" i="112" s="1"/>
  <c r="AE13" i="121"/>
  <c r="X13" i="121" s="1"/>
  <c r="AE17" i="121"/>
  <c r="AE13" i="127"/>
  <c r="X13" i="127" s="1"/>
  <c r="AE18" i="122"/>
  <c r="AE16" i="124"/>
  <c r="AE8" i="124"/>
  <c r="X8" i="124" s="1"/>
  <c r="AD11" i="127"/>
  <c r="V11" i="127" s="1"/>
  <c r="AD8" i="125"/>
  <c r="V8" i="125" s="1"/>
  <c r="AE17" i="125"/>
  <c r="AE15" i="112"/>
  <c r="AD17" i="121"/>
  <c r="T40" i="124"/>
  <c r="AD18" i="126"/>
  <c r="AD15" i="121"/>
  <c r="AE14" i="127"/>
  <c r="AE8" i="126"/>
  <c r="X8" i="126" s="1"/>
  <c r="AD16" i="126"/>
  <c r="Z20" i="123"/>
  <c r="Z20" i="126"/>
  <c r="AE14" i="126"/>
  <c r="Z20" i="122"/>
  <c r="AE8" i="123"/>
  <c r="X8" i="123" s="1"/>
  <c r="AE10" i="126"/>
  <c r="X10" i="126" s="1"/>
  <c r="Z20" i="127"/>
  <c r="AE12" i="121"/>
  <c r="X12" i="121" s="1"/>
  <c r="AD8" i="122"/>
  <c r="V8" i="122" s="1"/>
  <c r="AD8" i="124"/>
  <c r="V8" i="124" s="1"/>
  <c r="AD16" i="124"/>
  <c r="Z20" i="121"/>
  <c r="AE10" i="122"/>
  <c r="X10" i="122" s="1"/>
  <c r="AD8" i="121"/>
  <c r="V8" i="121" s="1"/>
  <c r="AD10" i="121"/>
  <c r="V10" i="121" s="1"/>
  <c r="AD12" i="121"/>
  <c r="V12" i="121" s="1"/>
  <c r="AD14" i="121"/>
  <c r="AE17" i="123"/>
  <c r="Z20" i="125"/>
  <c r="AD16" i="121"/>
  <c r="AE15" i="126"/>
  <c r="AE13" i="123"/>
  <c r="X13" i="123" s="1"/>
  <c r="AD11" i="126"/>
  <c r="V11" i="126" s="1"/>
  <c r="AE17" i="126"/>
  <c r="AD13" i="126"/>
  <c r="V13" i="126" s="1"/>
  <c r="AD11" i="124"/>
  <c r="V11" i="124" s="1"/>
  <c r="AE13" i="126"/>
  <c r="X13" i="126" s="1"/>
  <c r="AD10" i="127"/>
  <c r="V10" i="127" s="1"/>
  <c r="AE10" i="127"/>
  <c r="X10" i="127" s="1"/>
  <c r="AD13" i="127"/>
  <c r="V13" i="127" s="1"/>
  <c r="T35" i="127"/>
  <c r="AD16" i="127"/>
  <c r="AE16" i="127"/>
  <c r="AD19" i="127"/>
  <c r="AE19" i="127"/>
  <c r="AD9" i="127"/>
  <c r="V9" i="127" s="1"/>
  <c r="AE9" i="127"/>
  <c r="X9" i="127" s="1"/>
  <c r="AD12" i="127"/>
  <c r="V12" i="127" s="1"/>
  <c r="AE12" i="127"/>
  <c r="X12" i="127" s="1"/>
  <c r="AD15" i="127"/>
  <c r="AE15" i="127"/>
  <c r="AD18" i="127"/>
  <c r="AE18" i="127"/>
  <c r="T37" i="127"/>
  <c r="AD8" i="127"/>
  <c r="V8" i="127" s="1"/>
  <c r="AD14" i="127"/>
  <c r="AD10" i="126"/>
  <c r="V10" i="126" s="1"/>
  <c r="AE16" i="126"/>
  <c r="AD19" i="126"/>
  <c r="AE19" i="126"/>
  <c r="AD9" i="126"/>
  <c r="V9" i="126" s="1"/>
  <c r="AE9" i="126"/>
  <c r="X9" i="126" s="1"/>
  <c r="AD12" i="126"/>
  <c r="V12" i="126" s="1"/>
  <c r="AE12" i="126"/>
  <c r="X12" i="126" s="1"/>
  <c r="AD15" i="126"/>
  <c r="AE18" i="126"/>
  <c r="T37" i="126"/>
  <c r="AD14" i="126"/>
  <c r="AD10" i="125"/>
  <c r="V10" i="125" s="1"/>
  <c r="AE10" i="125"/>
  <c r="X10" i="125" s="1"/>
  <c r="AD13" i="125"/>
  <c r="V13" i="125" s="1"/>
  <c r="T39" i="125"/>
  <c r="AE13" i="125"/>
  <c r="X13" i="125" s="1"/>
  <c r="AD16" i="125"/>
  <c r="AE16" i="125"/>
  <c r="AD19" i="125"/>
  <c r="AE19" i="125"/>
  <c r="AD9" i="125"/>
  <c r="V9" i="125" s="1"/>
  <c r="AE9" i="125"/>
  <c r="X9" i="125" s="1"/>
  <c r="AD12" i="125"/>
  <c r="V12" i="125" s="1"/>
  <c r="AE12" i="125"/>
  <c r="X12" i="125" s="1"/>
  <c r="AD15" i="125"/>
  <c r="AE15" i="125"/>
  <c r="AD18" i="125"/>
  <c r="AE18" i="125"/>
  <c r="AE11" i="125"/>
  <c r="X11" i="125" s="1"/>
  <c r="AD14" i="125"/>
  <c r="AD10" i="124"/>
  <c r="V10" i="124" s="1"/>
  <c r="AE10" i="124"/>
  <c r="X10" i="124" s="1"/>
  <c r="AD13" i="124"/>
  <c r="V13" i="124" s="1"/>
  <c r="AD19" i="124"/>
  <c r="AE19" i="124"/>
  <c r="AD9" i="124"/>
  <c r="V9" i="124" s="1"/>
  <c r="AE9" i="124"/>
  <c r="X9" i="124" s="1"/>
  <c r="AD12" i="124"/>
  <c r="V12" i="124" s="1"/>
  <c r="AE12" i="124"/>
  <c r="X12" i="124" s="1"/>
  <c r="AD15" i="124"/>
  <c r="AE15" i="124"/>
  <c r="AD18" i="124"/>
  <c r="AE18" i="124"/>
  <c r="AD14" i="124"/>
  <c r="L43" i="123"/>
  <c r="AD10" i="123"/>
  <c r="V10" i="123" s="1"/>
  <c r="AE10" i="123"/>
  <c r="X10" i="123" s="1"/>
  <c r="AD13" i="123"/>
  <c r="V13" i="123" s="1"/>
  <c r="T35" i="123"/>
  <c r="T39" i="123"/>
  <c r="AD16" i="123"/>
  <c r="V35" i="123"/>
  <c r="V40" i="123" s="1"/>
  <c r="AE16" i="123"/>
  <c r="AD19" i="123"/>
  <c r="AE19" i="123"/>
  <c r="AD9" i="123"/>
  <c r="V9" i="123" s="1"/>
  <c r="AE9" i="123"/>
  <c r="X9" i="123" s="1"/>
  <c r="AD12" i="123"/>
  <c r="V12" i="123" s="1"/>
  <c r="AE12" i="123"/>
  <c r="X12" i="123" s="1"/>
  <c r="AD15" i="123"/>
  <c r="AE15" i="123"/>
  <c r="AD18" i="123"/>
  <c r="AD8" i="123"/>
  <c r="V8" i="123" s="1"/>
  <c r="AD11" i="123"/>
  <c r="V11" i="123" s="1"/>
  <c r="AD14" i="123"/>
  <c r="AD17" i="122"/>
  <c r="AE14" i="122"/>
  <c r="T35" i="122"/>
  <c r="T39" i="122"/>
  <c r="AE13" i="122"/>
  <c r="X13" i="122" s="1"/>
  <c r="AD16" i="122"/>
  <c r="V35" i="122"/>
  <c r="V40" i="122" s="1"/>
  <c r="AE16" i="122"/>
  <c r="AD19" i="122"/>
  <c r="AE19" i="122"/>
  <c r="AD9" i="122"/>
  <c r="V9" i="122" s="1"/>
  <c r="AE9" i="122"/>
  <c r="X9" i="122" s="1"/>
  <c r="AD12" i="122"/>
  <c r="V12" i="122" s="1"/>
  <c r="AE12" i="122"/>
  <c r="X12" i="122" s="1"/>
  <c r="AD15" i="122"/>
  <c r="AE15" i="122"/>
  <c r="AD18" i="122"/>
  <c r="AE8" i="122"/>
  <c r="X8" i="122" s="1"/>
  <c r="AD11" i="122"/>
  <c r="V11" i="122" s="1"/>
  <c r="AE11" i="122"/>
  <c r="X11" i="122" s="1"/>
  <c r="AD14" i="122"/>
  <c r="AE10" i="121"/>
  <c r="X10" i="121" s="1"/>
  <c r="AD13" i="121"/>
  <c r="V13" i="121" s="1"/>
  <c r="V38" i="121"/>
  <c r="AE16" i="121"/>
  <c r="AD19" i="121"/>
  <c r="AD9" i="121"/>
  <c r="V9" i="121" s="1"/>
  <c r="T36" i="121"/>
  <c r="T40" i="121" s="1"/>
  <c r="AE9" i="121"/>
  <c r="X9" i="121" s="1"/>
  <c r="AE15" i="121"/>
  <c r="AD18" i="121"/>
  <c r="AE18" i="121"/>
  <c r="Y43" i="121"/>
  <c r="L43" i="121" s="1"/>
  <c r="AE8" i="121"/>
  <c r="X8" i="121" s="1"/>
  <c r="AE17" i="112"/>
  <c r="V38" i="112"/>
  <c r="AD14" i="112"/>
  <c r="AD10" i="112"/>
  <c r="V10" i="112" s="1"/>
  <c r="AE10" i="112"/>
  <c r="X10" i="112" s="1"/>
  <c r="AD13" i="112"/>
  <c r="V13" i="112" s="1"/>
  <c r="AD16" i="112"/>
  <c r="AD19" i="112"/>
  <c r="AE13" i="112"/>
  <c r="X13" i="112" s="1"/>
  <c r="AE16" i="112"/>
  <c r="AE19" i="112"/>
  <c r="AD9" i="112"/>
  <c r="V9" i="112" s="1"/>
  <c r="AE9" i="112"/>
  <c r="X9" i="112" s="1"/>
  <c r="AD12" i="112"/>
  <c r="V12" i="112" s="1"/>
  <c r="AE12" i="112"/>
  <c r="X12" i="112" s="1"/>
  <c r="AD15" i="112"/>
  <c r="AD18" i="112"/>
  <c r="AE18" i="112"/>
  <c r="AD8" i="112"/>
  <c r="V8" i="112" s="1"/>
  <c r="AD11" i="112"/>
  <c r="V11" i="112" s="1"/>
  <c r="T26" i="110"/>
  <c r="T25" i="110"/>
  <c r="T24" i="110"/>
  <c r="T23" i="110"/>
  <c r="T22" i="110"/>
  <c r="X20" i="125" l="1"/>
  <c r="Z20" i="124"/>
  <c r="J11" i="131"/>
  <c r="T40" i="112"/>
  <c r="X20" i="127"/>
  <c r="W45" i="127" s="1"/>
  <c r="T40" i="125"/>
  <c r="V40" i="127"/>
  <c r="X20" i="112"/>
  <c r="W45" i="125"/>
  <c r="X20" i="124"/>
  <c r="W45" i="124" s="1"/>
  <c r="X20" i="126"/>
  <c r="W45" i="126" s="1"/>
  <c r="V40" i="112"/>
  <c r="V40" i="121"/>
  <c r="X20" i="122"/>
  <c r="W45" i="122" s="1"/>
  <c r="X20" i="121"/>
  <c r="W45" i="121" s="1"/>
  <c r="X20" i="123"/>
  <c r="W45" i="123" s="1"/>
  <c r="V20" i="127"/>
  <c r="V20" i="126"/>
  <c r="V20" i="125"/>
  <c r="V20" i="123"/>
  <c r="V20" i="121"/>
  <c r="W44" i="121" s="1"/>
  <c r="V20" i="124"/>
  <c r="W44" i="124" s="1"/>
  <c r="V20" i="122"/>
  <c r="V20" i="112"/>
  <c r="W44" i="112" s="1"/>
  <c r="W46" i="112"/>
  <c r="T40" i="126"/>
  <c r="W46" i="122"/>
  <c r="W46" i="125"/>
  <c r="W46" i="124"/>
  <c r="W46" i="121"/>
  <c r="W46" i="126"/>
  <c r="W46" i="127"/>
  <c r="T40" i="123"/>
  <c r="W46" i="123"/>
  <c r="T40" i="127"/>
  <c r="W44" i="127" s="1"/>
  <c r="T40" i="122"/>
  <c r="W44" i="125" l="1"/>
  <c r="AH23" i="131"/>
  <c r="J12" i="131" s="1"/>
  <c r="J17" i="131" s="1"/>
  <c r="T17" i="131" s="1"/>
  <c r="W45" i="112"/>
  <c r="AH25" i="131" s="1"/>
  <c r="X12" i="131" s="1"/>
  <c r="W44" i="126"/>
  <c r="W44" i="123"/>
  <c r="W44" i="122"/>
  <c r="AH24" i="131" s="1"/>
  <c r="X11" i="131" s="1"/>
  <c r="J18" i="131" s="1"/>
  <c r="T18" i="131" s="1"/>
  <c r="J19" i="110" l="1"/>
  <c r="T19" i="110" s="1"/>
  <c r="P19" i="110"/>
  <c r="T32" i="110" l="1"/>
  <c r="P26" i="110"/>
  <c r="J26" i="110"/>
  <c r="P25" i="110"/>
  <c r="J25" i="110"/>
  <c r="J24" i="110"/>
  <c r="J23" i="110"/>
  <c r="P23" i="110"/>
  <c r="P22" i="110"/>
  <c r="J22" i="110"/>
  <c r="J21" i="110"/>
  <c r="T21" i="110" s="1"/>
  <c r="P20" i="110"/>
  <c r="J20" i="110"/>
  <c r="T20" i="110" s="1"/>
  <c r="T27" i="110" s="1"/>
  <c r="AE12" i="110"/>
  <c r="R12" i="110"/>
  <c r="AE11" i="110"/>
  <c r="R11" i="110"/>
  <c r="AE10" i="110"/>
  <c r="R10" i="110"/>
  <c r="AE9" i="110"/>
  <c r="R9" i="110"/>
  <c r="AE8" i="110"/>
  <c r="R8" i="110" s="1"/>
  <c r="P24" i="110"/>
  <c r="P21" i="110"/>
  <c r="Y32" i="110" l="1"/>
  <c r="P27" i="110"/>
  <c r="W33" i="110" s="1"/>
  <c r="P32" i="110"/>
  <c r="R13" i="110"/>
  <c r="W35" i="1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23BB2254-CDA7-4428-A8A1-0850F8D29890}">
      <text>
        <r>
          <rPr>
            <sz val="9"/>
            <color indexed="81"/>
            <rFont val="ＭＳ Ｐゴシック"/>
            <family val="3"/>
            <charset val="128"/>
          </rPr>
          <t>取得日射量補正係数は簡略計算法にて算出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AFD905EF-3BA7-4460-9214-C351543E21F0}">
      <text>
        <r>
          <rPr>
            <sz val="9"/>
            <color indexed="81"/>
            <rFont val="ＭＳ Ｐゴシック"/>
            <family val="3"/>
            <charset val="128"/>
          </rPr>
          <t>取得日射量補正係数は簡略計算法にて算出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A135C5F7-44DF-4299-BDD4-2AB4AAA810F6}">
      <text>
        <r>
          <rPr>
            <sz val="9"/>
            <color indexed="81"/>
            <rFont val="ＭＳ Ｐゴシック"/>
            <family val="3"/>
            <charset val="128"/>
          </rPr>
          <t>取得日射量補正係数は簡略計算法にて算出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845D5F49-C656-4D79-80CC-6B5531A2796B}">
      <text>
        <r>
          <rPr>
            <sz val="9"/>
            <color indexed="81"/>
            <rFont val="ＭＳ Ｐゴシック"/>
            <family val="3"/>
            <charset val="128"/>
          </rPr>
          <t>取得日射量補正係数は簡略計算法にて算出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4C430B1B-2E95-474B-918D-D77019D5EB50}">
      <text>
        <r>
          <rPr>
            <sz val="9"/>
            <color indexed="81"/>
            <rFont val="ＭＳ Ｐゴシック"/>
            <family val="3"/>
            <charset val="128"/>
          </rPr>
          <t>取得日射量補正係数は簡略計算法にて算出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9AEA9A68-45E6-4DF5-9447-E157F713833F}">
      <text>
        <r>
          <rPr>
            <sz val="9"/>
            <color indexed="81"/>
            <rFont val="ＭＳ Ｐゴシック"/>
            <family val="3"/>
            <charset val="128"/>
          </rPr>
          <t>取得日射量補正係数は簡略計算法にて算出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6650362E-66F4-4D44-AFFE-B2ADFB6D716E}">
      <text>
        <r>
          <rPr>
            <sz val="9"/>
            <color indexed="81"/>
            <rFont val="ＭＳ Ｐゴシック"/>
            <family val="3"/>
            <charset val="128"/>
          </rPr>
          <t>取得日射量補正係数は簡略計算法にて算出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9F0C860A-6F7F-4A89-A0DA-8F2F0FFCA0E0}">
      <text>
        <r>
          <rPr>
            <sz val="9"/>
            <color indexed="81"/>
            <rFont val="ＭＳ Ｐゴシック"/>
            <family val="3"/>
            <charset val="128"/>
          </rPr>
          <t>取得日射量補正係数は簡略計算法にて算出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hishinuma</author>
  </authors>
  <commentList>
    <comment ref="N20" authorId="0" shapeId="0" xr:uid="{09811709-A0D9-4F94-84FD-501ECCE7D60A}">
      <text>
        <r>
          <rPr>
            <sz val="9"/>
            <color indexed="81"/>
            <rFont val="MS P ゴシック"/>
            <family val="3"/>
            <charset val="128"/>
          </rPr>
          <t>日射の当たらない基礎等の場合は、チェックを入れる</t>
        </r>
      </text>
    </comment>
    <comment ref="N33" authorId="0" shapeId="0" xr:uid="{2FBE6759-8A1E-47C1-A3AE-697DA2ECB1F6}">
      <text>
        <r>
          <rPr>
            <sz val="9"/>
            <color indexed="81"/>
            <rFont val="MS P ゴシック"/>
            <family val="3"/>
            <charset val="128"/>
          </rPr>
          <t>日射の当たらない基礎等の場合は、チェックを入れる</t>
        </r>
      </text>
    </comment>
  </commentList>
</comments>
</file>

<file path=xl/sharedStrings.xml><?xml version="1.0" encoding="utf-8"?>
<sst xmlns="http://schemas.openxmlformats.org/spreadsheetml/2006/main" count="873" uniqueCount="288">
  <si>
    <t>仕様番号</t>
    <rPh sb="0" eb="2">
      <t>シヨウ</t>
    </rPh>
    <rPh sb="2" eb="4">
      <t>バンゴウ</t>
    </rPh>
    <phoneticPr fontId="4"/>
  </si>
  <si>
    <t>外壁</t>
    <rPh sb="0" eb="2">
      <t>ガイヘキ</t>
    </rPh>
    <phoneticPr fontId="4"/>
  </si>
  <si>
    <t>階</t>
    <rPh sb="0" eb="1">
      <t>カイ</t>
    </rPh>
    <phoneticPr fontId="4"/>
  </si>
  <si>
    <t>ｙ2</t>
    <phoneticPr fontId="4"/>
  </si>
  <si>
    <t>冷房期</t>
    <rPh sb="0" eb="2">
      <t>レイボウ</t>
    </rPh>
    <rPh sb="2" eb="3">
      <t>キ</t>
    </rPh>
    <phoneticPr fontId="4"/>
  </si>
  <si>
    <t>1）窓の入力</t>
    <rPh sb="2" eb="3">
      <t>マド</t>
    </rPh>
    <rPh sb="4" eb="6">
      <t>ニュウリョク</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</si>
  <si>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</si>
  <si>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</si>
  <si>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</si>
  <si>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</si>
  <si>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</si>
  <si>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</si>
  <si>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</si>
  <si>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2）ドアの入力</t>
    <rPh sb="5" eb="7">
      <t>ニュウリョク</t>
    </rPh>
    <phoneticPr fontId="4"/>
  </si>
  <si>
    <t>ドア番号</t>
    <rPh sb="2" eb="4">
      <t>バンゴウ</t>
    </rPh>
    <phoneticPr fontId="4"/>
  </si>
  <si>
    <t>3）外壁の入力</t>
    <rPh sb="2" eb="4">
      <t>ガイヘキ</t>
    </rPh>
    <rPh sb="5" eb="7">
      <t>ニュウリョク</t>
    </rPh>
    <phoneticPr fontId="4"/>
  </si>
  <si>
    <t>暖房期</t>
    <rPh sb="0" eb="2">
      <t>ダンボウ</t>
    </rPh>
    <rPh sb="2" eb="3">
      <t>キ</t>
    </rPh>
    <phoneticPr fontId="4"/>
  </si>
  <si>
    <t>㎡）</t>
    <phoneticPr fontId="4"/>
  </si>
  <si>
    <t>　総熱損失</t>
    <rPh sb="1" eb="2">
      <t>ソウ</t>
    </rPh>
    <rPh sb="2" eb="3">
      <t>ネツ</t>
    </rPh>
    <rPh sb="3" eb="5">
      <t>ソンシツ</t>
    </rPh>
    <phoneticPr fontId="4"/>
  </si>
  <si>
    <t>W/K</t>
    <phoneticPr fontId="4"/>
  </si>
  <si>
    <t>ドア</t>
    <phoneticPr fontId="4"/>
  </si>
  <si>
    <t>（窓</t>
    <rPh sb="1" eb="2">
      <t>マド</t>
    </rPh>
    <phoneticPr fontId="4"/>
  </si>
  <si>
    <t>㎡</t>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</si>
  <si>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</si>
  <si>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</si>
  <si>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</si>
  <si>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</si>
  <si>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　住宅の規模</t>
    <rPh sb="1" eb="3">
      <t>ジュウタク</t>
    </rPh>
    <rPh sb="4" eb="6">
      <t>キボ</t>
    </rPh>
    <phoneticPr fontId="4"/>
  </si>
  <si>
    <t>（地域区分）</t>
    <rPh sb="1" eb="3">
      <t>チイキ</t>
    </rPh>
    <rPh sb="3" eb="5">
      <t>クブン</t>
    </rPh>
    <phoneticPr fontId="4"/>
  </si>
  <si>
    <t>地上</t>
    <rPh sb="0" eb="2">
      <t>チジョウ</t>
    </rPh>
    <phoneticPr fontId="4"/>
  </si>
  <si>
    <t>、地下</t>
    <rPh sb="1" eb="3">
      <t>チカ</t>
    </rPh>
    <phoneticPr fontId="4"/>
  </si>
  <si>
    <t>2）計算結果</t>
    <rPh sb="2" eb="4">
      <t>ケイサン</t>
    </rPh>
    <rPh sb="4" eb="6">
      <t>ケッカ</t>
    </rPh>
    <phoneticPr fontId="4"/>
  </si>
  <si>
    <t>W/（㎡K）</t>
    <phoneticPr fontId="4"/>
  </si>
  <si>
    <t>方位係数</t>
    <rPh sb="0" eb="2">
      <t>ホウイ</t>
    </rPh>
    <rPh sb="2" eb="4">
      <t>ケイスウ</t>
    </rPh>
    <phoneticPr fontId="4"/>
  </si>
  <si>
    <t>部位番号</t>
    <rPh sb="0" eb="2">
      <t>ブイ</t>
    </rPh>
    <rPh sb="2" eb="4">
      <t>バンゴウ</t>
    </rPh>
    <phoneticPr fontId="4"/>
  </si>
  <si>
    <t>部位名</t>
    <rPh sb="0" eb="2">
      <t>ブイ</t>
    </rPh>
    <rPh sb="2" eb="3">
      <t>メイ</t>
    </rPh>
    <phoneticPr fontId="4"/>
  </si>
  <si>
    <t>1）天窓等の入力</t>
    <rPh sb="2" eb="3">
      <t>テン</t>
    </rPh>
    <rPh sb="3" eb="4">
      <t>マド</t>
    </rPh>
    <rPh sb="4" eb="5">
      <t>トウ</t>
    </rPh>
    <rPh sb="6" eb="8">
      <t>ニュウリョク</t>
    </rPh>
    <phoneticPr fontId="4"/>
  </si>
  <si>
    <t>　外皮等面積（内訳）</t>
    <rPh sb="1" eb="3">
      <t>ガイヒ</t>
    </rPh>
    <rPh sb="3" eb="4">
      <t>トウ</t>
    </rPh>
    <rPh sb="4" eb="6">
      <t>メンセキ</t>
    </rPh>
    <rPh sb="7" eb="9">
      <t>ウチワケ</t>
    </rPh>
    <phoneticPr fontId="4"/>
  </si>
  <si>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</si>
  <si>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</si>
  <si>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</si>
  <si>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</si>
  <si>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</si>
  <si>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</si>
  <si>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　</t>
  </si>
  <si>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</si>
  <si>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</si>
  <si>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</si>
  <si>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</si>
  <si>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</si>
  <si>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</si>
  <si>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</si>
  <si>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</si>
  <si>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</si>
  <si>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</si>
  <si>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</si>
  <si>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</si>
  <si>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</si>
  <si>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</si>
  <si>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温度差係数</t>
    <rPh sb="0" eb="3">
      <t>オンドサ</t>
    </rPh>
    <rPh sb="3" eb="5">
      <t>ケイスウ</t>
    </rPh>
    <phoneticPr fontId="4"/>
  </si>
  <si>
    <t>外皮性能基準値</t>
    <rPh sb="0" eb="2">
      <t>ガイヒ</t>
    </rPh>
    <rPh sb="2" eb="4">
      <t>セイノウ</t>
    </rPh>
    <rPh sb="4" eb="7">
      <t>キジュンチ</t>
    </rPh>
    <phoneticPr fontId="4"/>
  </si>
  <si>
    <t>3）省エネルギー基準外皮性能適合可否結果</t>
    <phoneticPr fontId="4"/>
  </si>
  <si>
    <t>計算結果</t>
  </si>
  <si>
    <t>基準値</t>
  </si>
  <si>
    <t>判定</t>
  </si>
  <si>
    <t>日射熱
取得率
※1</t>
    <rPh sb="0" eb="2">
      <t>ニッシャ</t>
    </rPh>
    <rPh sb="2" eb="3">
      <t>ネツ</t>
    </rPh>
    <rPh sb="4" eb="6">
      <t>シュトク</t>
    </rPh>
    <rPh sb="6" eb="7">
      <t>リツ</t>
    </rPh>
    <phoneticPr fontId="4"/>
  </si>
  <si>
    <t>更新内容</t>
    <rPh sb="0" eb="2">
      <t>コウシン</t>
    </rPh>
    <rPh sb="2" eb="4">
      <t>ナイヨウ</t>
    </rPh>
    <phoneticPr fontId="4"/>
  </si>
  <si>
    <t>東面</t>
    <rPh sb="1" eb="2">
      <t>メン</t>
    </rPh>
    <phoneticPr fontId="4"/>
  </si>
  <si>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4"/>
  </si>
  <si>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</si>
  <si>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4"/>
  </si>
  <si>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</si>
  <si>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4"/>
  </si>
  <si>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4"/>
  </si>
  <si>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4"/>
  </si>
  <si>
    <r>
      <t xml:space="preserve">ドア </t>
    </r>
    <r>
      <rPr>
        <b/>
        <sz val="11"/>
        <rFont val="HG丸ｺﾞｼｯｸM-PRO"/>
        <family val="3"/>
        <charset val="128"/>
      </rPr>
      <t>＜北東面＞</t>
    </r>
    <r>
      <rPr>
        <sz val="11"/>
        <rFont val="HG丸ｺﾞｼｯｸM-PRO"/>
        <family val="3"/>
        <charset val="128"/>
      </rPr>
      <t xml:space="preserve"> 各値合計</t>
    </r>
    <phoneticPr fontId="4"/>
  </si>
  <si>
    <t>等級４</t>
    <rPh sb="0" eb="2">
      <t>トウキュウ</t>
    </rPh>
    <phoneticPr fontId="4"/>
  </si>
  <si>
    <t>等級３</t>
    <rPh sb="0" eb="2">
      <t>トウキュウ</t>
    </rPh>
    <phoneticPr fontId="4"/>
  </si>
  <si>
    <t>等級２</t>
    <rPh sb="0" eb="2">
      <t>トウキュウ</t>
    </rPh>
    <phoneticPr fontId="4"/>
  </si>
  <si>
    <t>-</t>
    <phoneticPr fontId="4"/>
  </si>
  <si>
    <t>等級４</t>
    <phoneticPr fontId="4"/>
  </si>
  <si>
    <t>等級３</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</si>
  <si>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</si>
  <si>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</si>
  <si>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t>㎡（</t>
    <phoneticPr fontId="4"/>
  </si>
  <si>
    <t>㎡、</t>
    <phoneticPr fontId="4"/>
  </si>
  <si>
    <t>屋根等</t>
    <phoneticPr fontId="4"/>
  </si>
  <si>
    <t>㎡）</t>
    <phoneticPr fontId="4"/>
  </si>
  <si>
    <t>W/K</t>
    <phoneticPr fontId="4"/>
  </si>
  <si>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4"/>
  </si>
  <si>
    <r>
      <t>　冷房期の平均日射熱取得率(η</t>
    </r>
    <r>
      <rPr>
        <vertAlign val="subscript"/>
        <sz val="10"/>
        <rFont val="ＭＳ Ｐゴシック"/>
        <family val="3"/>
        <charset val="128"/>
      </rPr>
      <t>AC</t>
    </r>
    <r>
      <rPr>
        <sz val="10"/>
        <rFont val="ＭＳ Ｐゴシック"/>
        <family val="3"/>
        <charset val="128"/>
      </rPr>
      <t>)</t>
    </r>
    <phoneticPr fontId="4"/>
  </si>
  <si>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4"/>
  </si>
  <si>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</si>
  <si>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</si>
  <si>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</si>
  <si>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</si>
  <si>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</si>
  <si>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</si>
  <si>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</si>
  <si>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</si>
  <si>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</si>
  <si>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</si>
  <si>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4"/>
  </si>
  <si>
    <t>日射熱
取得率
※1</t>
    <rPh sb="0" eb="2">
      <t>ニッシャ</t>
    </rPh>
    <rPh sb="2" eb="3">
      <t>ネツ</t>
    </rPh>
    <rPh sb="4" eb="6">
      <t>シュトク</t>
    </rPh>
    <phoneticPr fontId="4"/>
  </si>
  <si>
    <t xml:space="preserve">
はじめに（お読みください）
</t>
    <rPh sb="7" eb="8">
      <t>ヨ</t>
    </rPh>
    <phoneticPr fontId="4"/>
  </si>
  <si>
    <t xml:space="preserve">
１)
</t>
    <phoneticPr fontId="4"/>
  </si>
  <si>
    <t xml:space="preserve">　
　本エクセル計算シートの著作権は、一般社団法人住宅性能評価・表示協会に帰属します。
</t>
    <phoneticPr fontId="4"/>
  </si>
  <si>
    <t xml:space="preserve">
２)</t>
    <phoneticPr fontId="4"/>
  </si>
  <si>
    <t xml:space="preserve">
３)</t>
    <phoneticPr fontId="4"/>
  </si>
  <si>
    <t xml:space="preserve">
　本エクセル計算シートは、当協会の会員及び設計者へのサービスの一環として、無料で公開するものです。利用者は、利用者自身の自己責任において、本エクセル計算シートを利用してください。
　当協会は、事由のいかんを問わず、本エクセルシートの使用によって発生した（代用品または代用サービスの調達、使用の損失、データの損失、利益の損失、業務の中断も含め、またはそれに限定されない）直接損害、間接損害、偶発的な損害、特別損害、懲罰的損害、または結果損害について、一切の責任を負わないものとします。
</t>
    <phoneticPr fontId="4"/>
  </si>
  <si>
    <t xml:space="preserve">
４）</t>
    <phoneticPr fontId="4"/>
  </si>
  <si>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</si>
  <si>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　注３：各シートの</t>
    <rPh sb="1" eb="2">
      <t>チュウ</t>
    </rPh>
    <rPh sb="4" eb="5">
      <t>カク</t>
    </rPh>
    <phoneticPr fontId="4"/>
  </si>
  <si>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</si>
  <si>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</si>
  <si>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 xml:space="preserve">
　本エクセル計算シートの計算方法は、国立研究開発法人建築研究所のホームページで公開されている「建築物のエネルギー消費性能に関する技術情報」の「平成28年省エネルギー基準に準拠したエネルギー消費性能の評価に関する技術情報（住宅）」(http://www.kenken.go.jp/becc/house.html)に示される第三章第二節「外皮性能」（以下、「建築研究所公開資料」という。）に基づき、当協会が作成したものです。
　万一、技術情報と本エクセル計算シートの内容に齟齬がある場合は、建築研究所公開資料で定める内容が優先されます。
</t>
    <phoneticPr fontId="4"/>
  </si>
  <si>
    <t xml:space="preserve">　
本エクセル計算シートは、バージョンによっては開く又は保存すると、一部の機能が失われるか、正常に実行されなくなる可能性があります。
</t>
    <rPh sb="2" eb="3">
      <t>ホン</t>
    </rPh>
    <rPh sb="7" eb="9">
      <t>ケイサン</t>
    </rPh>
    <rPh sb="24" eb="25">
      <t>ヒラ</t>
    </rPh>
    <rPh sb="26" eb="27">
      <t>マタ</t>
    </rPh>
    <rPh sb="28" eb="30">
      <t>ホゾン</t>
    </rPh>
    <rPh sb="34" eb="36">
      <t>イチブ</t>
    </rPh>
    <rPh sb="37" eb="39">
      <t>キノウ</t>
    </rPh>
    <rPh sb="40" eb="41">
      <t>ウシナ</t>
    </rPh>
    <rPh sb="46" eb="48">
      <t>セイジョウ</t>
    </rPh>
    <rPh sb="49" eb="51">
      <t>ジッコウ</t>
    </rPh>
    <rPh sb="57" eb="60">
      <t>カノウセイ</t>
    </rPh>
    <phoneticPr fontId="4"/>
  </si>
  <si>
    <t>５）</t>
    <phoneticPr fontId="4"/>
  </si>
  <si>
    <t>部位U値計算シートは本ファイルに添付されていません。別途ご用意ください。</t>
    <phoneticPr fontId="4"/>
  </si>
  <si>
    <t>方位</t>
    <rPh sb="0" eb="2">
      <t>ホウイ</t>
    </rPh>
    <phoneticPr fontId="4"/>
  </si>
  <si>
    <t>基礎壁合計</t>
    <rPh sb="0" eb="2">
      <t>キソ</t>
    </rPh>
    <rPh sb="2" eb="3">
      <t>カベ</t>
    </rPh>
    <rPh sb="3" eb="5">
      <t>ゴウケイ</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</si>
  <si>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</si>
  <si>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</si>
  <si>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</si>
  <si>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線熱貫流率
[W/(m・K)]</t>
    <rPh sb="0" eb="5">
      <t>センネツカンリュウリツ</t>
    </rPh>
    <phoneticPr fontId="4"/>
  </si>
  <si>
    <t>土間等熱損失合計</t>
    <rPh sb="0" eb="2">
      <t>ドマ</t>
    </rPh>
    <rPh sb="2" eb="3">
      <t>トウ</t>
    </rPh>
    <rPh sb="3" eb="4">
      <t>ネツ</t>
    </rPh>
    <rPh sb="4" eb="6">
      <t>ソンシツ</t>
    </rPh>
    <rPh sb="6" eb="8">
      <t>ゴウケイ</t>
    </rPh>
    <phoneticPr fontId="4"/>
  </si>
  <si>
    <t>[W/(W/㎡)]</t>
    <phoneticPr fontId="4"/>
  </si>
  <si>
    <t>方位</t>
    <rPh sb="0" eb="1">
      <t>ホウ</t>
    </rPh>
    <rPh sb="1" eb="2">
      <t>イ</t>
    </rPh>
    <phoneticPr fontId="26"/>
  </si>
  <si>
    <t>南</t>
    <rPh sb="0" eb="1">
      <t>ミナミ</t>
    </rPh>
    <phoneticPr fontId="25"/>
  </si>
  <si>
    <t>東</t>
    <rPh sb="0" eb="1">
      <t>ヒガシ</t>
    </rPh>
    <phoneticPr fontId="25"/>
  </si>
  <si>
    <t>北</t>
    <rPh sb="0" eb="1">
      <t>キタ</t>
    </rPh>
    <phoneticPr fontId="25"/>
  </si>
  <si>
    <t>西</t>
    <rPh sb="0" eb="1">
      <t>ニシ</t>
    </rPh>
    <phoneticPr fontId="25"/>
  </si>
  <si>
    <t>南東</t>
    <rPh sb="0" eb="2">
      <t>ナントウ</t>
    </rPh>
    <phoneticPr fontId="25"/>
  </si>
  <si>
    <t>北東</t>
    <rPh sb="0" eb="2">
      <t>ホクトウ</t>
    </rPh>
    <phoneticPr fontId="25"/>
  </si>
  <si>
    <t>北西</t>
    <rPh sb="0" eb="2">
      <t>ホクセイ</t>
    </rPh>
    <phoneticPr fontId="25"/>
  </si>
  <si>
    <t>南西</t>
    <rPh sb="0" eb="2">
      <t>ナンセイ</t>
    </rPh>
    <phoneticPr fontId="25"/>
  </si>
  <si>
    <t>日射の当たらない基礎等</t>
    <rPh sb="0" eb="2">
      <t>ニッシャ</t>
    </rPh>
    <rPh sb="3" eb="4">
      <t>ア</t>
    </rPh>
    <rPh sb="8" eb="10">
      <t>キソ</t>
    </rPh>
    <rPh sb="10" eb="11">
      <t>トウ</t>
    </rPh>
    <phoneticPr fontId="4"/>
  </si>
  <si>
    <t>方位係数</t>
  </si>
  <si>
    <t>冷房期</t>
    <phoneticPr fontId="4"/>
  </si>
  <si>
    <t>暖房期</t>
    <rPh sb="0" eb="2">
      <t>ダンボウ</t>
    </rPh>
    <phoneticPr fontId="4"/>
  </si>
  <si>
    <t>夏</t>
  </si>
  <si>
    <t>冬</t>
    <rPh sb="0" eb="1">
      <t>フユ</t>
    </rPh>
    <phoneticPr fontId="4"/>
  </si>
  <si>
    <t>南</t>
    <rPh sb="0" eb="1">
      <t>ミナミ</t>
    </rPh>
    <phoneticPr fontId="4"/>
  </si>
  <si>
    <t>東</t>
    <rPh sb="0" eb="1">
      <t>ヒガシ</t>
    </rPh>
    <phoneticPr fontId="4"/>
  </si>
  <si>
    <t>北</t>
    <rPh sb="0" eb="1">
      <t>キタ</t>
    </rPh>
    <phoneticPr fontId="4"/>
  </si>
  <si>
    <t>西</t>
    <rPh sb="0" eb="1">
      <t>ニシ</t>
    </rPh>
    <phoneticPr fontId="4"/>
  </si>
  <si>
    <t>南東</t>
    <rPh sb="0" eb="2">
      <t>ナントウ</t>
    </rPh>
    <phoneticPr fontId="4"/>
  </si>
  <si>
    <t>北東</t>
    <rPh sb="0" eb="2">
      <t>ホクトウ</t>
    </rPh>
    <phoneticPr fontId="4"/>
  </si>
  <si>
    <t>北西</t>
    <rPh sb="0" eb="2">
      <t>ホクセイ</t>
    </rPh>
    <phoneticPr fontId="4"/>
  </si>
  <si>
    <t>南西</t>
    <rPh sb="0" eb="2">
      <t>ナンセイ</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</si>
  <si>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</si>
  <si>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</si>
  <si>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</si>
  <si>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</si>
  <si>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</si>
  <si>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</si>
  <si>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</si>
  <si>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</si>
  <si>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r>
      <t xml:space="preserve">冷房期
日射熱
取得量
</t>
    </r>
    <r>
      <rPr>
        <sz val="8"/>
        <rFont val="ＭＳ Ｐゴシック"/>
        <family val="3"/>
        <charset val="128"/>
      </rPr>
      <t>[W/(W/㎡)]</t>
    </r>
    <rPh sb="0" eb="2">
      <t>レイボウ</t>
    </rPh>
    <rPh sb="2" eb="3">
      <t>キ</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</si>
  <si>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</si>
  <si>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</si>
  <si>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</si>
  <si>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屋根等
面積
[㎡]</t>
    <rPh sb="0" eb="2">
      <t>ヤネ</t>
    </rPh>
    <rPh sb="2" eb="3">
      <t>トウ</t>
    </rPh>
    <rPh sb="4" eb="6">
      <t>メンセキ</t>
    </rPh>
    <phoneticPr fontId="4"/>
  </si>
  <si>
    <t>計算対象
外皮面積
[㎡]</t>
    <rPh sb="0" eb="2">
      <t>ケイサン</t>
    </rPh>
    <rPh sb="2" eb="4">
      <t>タイショウ</t>
    </rPh>
    <rPh sb="5" eb="7">
      <t>ガイヒ</t>
    </rPh>
    <rPh sb="7" eb="9">
      <t>メンセキ</t>
    </rPh>
    <phoneticPr fontId="4"/>
  </si>
  <si>
    <r>
      <t>内訳計算シートＣ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</si>
  <si>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</si>
  <si>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</si>
  <si>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</si>
  <si>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※基礎壁は、内訳計算シートＣ＜基礎壁、基礎等＞に入力してください。</t>
    <phoneticPr fontId="4"/>
  </si>
  <si>
    <t>※外気または外気に通じる空間（小屋裏・天井裏等）は1.0、外気に通じる床下は0.7を入力してください。</t>
    <rPh sb="1" eb="3">
      <t>ガイキ</t>
    </rPh>
    <rPh sb="6" eb="8">
      <t>ガイキ</t>
    </rPh>
    <rPh sb="9" eb="10">
      <t>ツウ</t>
    </rPh>
    <rPh sb="12" eb="14">
      <t>クウカン</t>
    </rPh>
    <rPh sb="15" eb="18">
      <t>コヤウラ</t>
    </rPh>
    <rPh sb="19" eb="21">
      <t>テンジョウ</t>
    </rPh>
    <rPh sb="21" eb="22">
      <t>ウラ</t>
    </rPh>
    <rPh sb="22" eb="23">
      <t>トウ</t>
    </rPh>
    <rPh sb="29" eb="31">
      <t>ガイキ</t>
    </rPh>
    <rPh sb="32" eb="33">
      <t>ツウ</t>
    </rPh>
    <rPh sb="35" eb="37">
      <t>ユカシタ</t>
    </rPh>
    <rPh sb="42" eb="44">
      <t>ニュウリョク</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</si>
  <si>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</si>
  <si>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</si>
  <si>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</si>
  <si>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</si>
  <si>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更新日</t>
    <rPh sb="0" eb="2">
      <t>コウシン</t>
    </rPh>
    <rPh sb="2" eb="3">
      <t>ビ</t>
    </rPh>
    <phoneticPr fontId="4"/>
  </si>
  <si>
    <t>ver2.0
(webプログラムver3.0対応)</t>
    <rPh sb="22" eb="24">
      <t>タイオウ</t>
    </rPh>
    <phoneticPr fontId="4"/>
  </si>
  <si>
    <t>1）</t>
    <phoneticPr fontId="4"/>
  </si>
  <si>
    <t>3)外壁の入力の修正</t>
    <rPh sb="2" eb="4">
      <t>ガイヘキ</t>
    </rPh>
    <rPh sb="5" eb="7">
      <t>ニュウリョク</t>
    </rPh>
    <rPh sb="8" eb="10">
      <t>シュウセイ</t>
    </rPh>
    <phoneticPr fontId="4"/>
  </si>
  <si>
    <t>シートA（方位別計算）</t>
    <rPh sb="5" eb="7">
      <t>ホウイ</t>
    </rPh>
    <rPh sb="7" eb="8">
      <t>ベツ</t>
    </rPh>
    <rPh sb="8" eb="10">
      <t>ケイサン</t>
    </rPh>
    <phoneticPr fontId="4"/>
  </si>
  <si>
    <t>シートB（屋根・天井・床等）</t>
    <rPh sb="5" eb="7">
      <t>ヤネ</t>
    </rPh>
    <rPh sb="8" eb="10">
      <t>テンジョウ</t>
    </rPh>
    <rPh sb="11" eb="13">
      <t>ユカナド</t>
    </rPh>
    <phoneticPr fontId="4"/>
  </si>
  <si>
    <t>2）</t>
  </si>
  <si>
    <t>シートC（基礎壁、基礎等）</t>
    <rPh sb="5" eb="7">
      <t>キソ</t>
    </rPh>
    <rPh sb="7" eb="8">
      <t>カベ</t>
    </rPh>
    <rPh sb="9" eb="12">
      <t>キソナド</t>
    </rPh>
    <phoneticPr fontId="4"/>
  </si>
  <si>
    <t>2）屋根・天井・外気等に接する床の入力の温度差係数欄の追加</t>
    <rPh sb="2" eb="4">
      <t>ヤネ</t>
    </rPh>
    <rPh sb="5" eb="7">
      <t>テンジョウ</t>
    </rPh>
    <rPh sb="8" eb="10">
      <t>ガイキ</t>
    </rPh>
    <rPh sb="10" eb="11">
      <t>ナド</t>
    </rPh>
    <rPh sb="12" eb="13">
      <t>セッ</t>
    </rPh>
    <rPh sb="15" eb="16">
      <t>ユカ</t>
    </rPh>
    <rPh sb="17" eb="19">
      <t>ニュウリョク</t>
    </rPh>
    <rPh sb="20" eb="25">
      <t>オンドサケイスウ</t>
    </rPh>
    <rPh sb="25" eb="26">
      <t>ラン</t>
    </rPh>
    <rPh sb="27" eb="29">
      <t>ツイカ</t>
    </rPh>
    <phoneticPr fontId="4"/>
  </si>
  <si>
    <t>webプログラムver3.0対応へ変更</t>
    <rPh sb="17" eb="19">
      <t>ヘンコウ</t>
    </rPh>
    <phoneticPr fontId="4"/>
  </si>
  <si>
    <t>3）</t>
  </si>
  <si>
    <t>北面</t>
    <phoneticPr fontId="4"/>
  </si>
  <si>
    <r>
      <t>内訳計算シートＡ　　</t>
    </r>
    <r>
      <rPr>
        <b/>
        <sz val="12"/>
        <rFont val="HG丸ｺﾞｼｯｸM-PRO"/>
        <family val="3"/>
        <charset val="128"/>
      </rPr>
      <t>＜北面＞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</si>
  <si>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7" eb="8">
      <t>カク</t>
    </rPh>
    <rPh sb="8" eb="9">
      <t>アタイ</t>
    </rPh>
    <rPh sb="9" eb="11">
      <t>ゴウケイ</t>
    </rPh>
    <phoneticPr fontId="4"/>
  </si>
  <si>
    <r>
      <t xml:space="preserve">外壁 </t>
    </r>
    <r>
      <rPr>
        <b/>
        <sz val="11"/>
        <rFont val="HG丸ｺﾞｼｯｸM-PRO"/>
        <family val="3"/>
        <charset val="128"/>
      </rPr>
      <t>＜北面＞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</si>
  <si>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</si>
  <si>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</si>
  <si>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</si>
  <si>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11" eb="13">
      <t>ケイサン</t>
    </rPh>
    <rPh sb="13" eb="15">
      <t>ケッカ</t>
    </rPh>
    <phoneticPr fontId="4"/>
  </si>
  <si>
    <t>北東面</t>
    <rPh sb="0" eb="1">
      <t>キタ</t>
    </rPh>
    <rPh sb="2" eb="3">
      <t>メン</t>
    </rPh>
    <phoneticPr fontId="4"/>
  </si>
  <si>
    <t>南東面</t>
    <phoneticPr fontId="4"/>
  </si>
  <si>
    <t>南面</t>
    <phoneticPr fontId="4"/>
  </si>
  <si>
    <t>南西面</t>
    <phoneticPr fontId="4"/>
  </si>
  <si>
    <t>西面</t>
    <phoneticPr fontId="4"/>
  </si>
  <si>
    <t>北西面</t>
    <phoneticPr fontId="4"/>
  </si>
  <si>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</si>
  <si>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</si>
  <si>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＜北西面＞</t>
    </r>
    <r>
      <rPr>
        <sz val="11"/>
        <rFont val="HG丸ｺﾞｼｯｸM-PRO"/>
        <family val="3"/>
        <charset val="128"/>
      </rPr>
      <t xml:space="preserve"> 各値合計</t>
    </r>
    <phoneticPr fontId="4"/>
  </si>
  <si>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</si>
  <si>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</si>
  <si>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</si>
  <si>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</si>
  <si>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＜西面＞</t>
    </r>
    <r>
      <rPr>
        <sz val="11"/>
        <rFont val="HG丸ｺﾞｼｯｸM-PRO"/>
        <family val="3"/>
        <charset val="128"/>
      </rPr>
      <t xml:space="preserve"> 各値合計</t>
    </r>
    <phoneticPr fontId="4"/>
  </si>
  <si>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</si>
  <si>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</si>
  <si>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</si>
  <si>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</si>
  <si>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＜南西面＞</t>
    </r>
    <r>
      <rPr>
        <sz val="11"/>
        <rFont val="HG丸ｺﾞｼｯｸM-PRO"/>
        <family val="3"/>
        <charset val="128"/>
      </rPr>
      <t xml:space="preserve"> 各値合計</t>
    </r>
    <phoneticPr fontId="4"/>
  </si>
  <si>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</si>
  <si>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</si>
  <si>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</si>
  <si>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</si>
  <si>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＜南面＞</t>
    </r>
    <r>
      <rPr>
        <sz val="11"/>
        <rFont val="HG丸ｺﾞｼｯｸM-PRO"/>
        <family val="3"/>
        <charset val="128"/>
      </rPr>
      <t xml:space="preserve"> 各値合計</t>
    </r>
    <phoneticPr fontId="4"/>
  </si>
  <si>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</si>
  <si>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</si>
  <si>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</si>
  <si>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</si>
  <si>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＜南東面＞</t>
    </r>
    <r>
      <rPr>
        <sz val="11"/>
        <rFont val="HG丸ｺﾞｼｯｸM-PRO"/>
        <family val="3"/>
        <charset val="128"/>
      </rPr>
      <t xml:space="preserve"> 各値合計</t>
    </r>
    <phoneticPr fontId="4"/>
  </si>
  <si>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</si>
  <si>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11" eb="13">
      <t>ケイサン</t>
    </rPh>
    <rPh sb="13" eb="15">
      <t>ケッカ</t>
    </rPh>
    <phoneticPr fontId="4"/>
  </si>
  <si>
    <t>Ver2.1</t>
    <phoneticPr fontId="4"/>
  </si>
  <si>
    <t>一部方位、冷房期取得日射熱補正係数に関する修正</t>
    <rPh sb="0" eb="2">
      <t>イチブ</t>
    </rPh>
    <rPh sb="2" eb="4">
      <t>ホウイ</t>
    </rPh>
    <phoneticPr fontId="4"/>
  </si>
  <si>
    <t>2）</t>
    <phoneticPr fontId="4"/>
  </si>
  <si>
    <t>シートB（屋根・天井・床等）</t>
    <phoneticPr fontId="4"/>
  </si>
  <si>
    <t>天窓の冷房期、暖房期取得日射熱補正係数に関する不具合の修正</t>
    <phoneticPr fontId="4"/>
  </si>
  <si>
    <t>シートC（基礎壁、基礎等）</t>
    <phoneticPr fontId="4"/>
  </si>
  <si>
    <t>3）</t>
    <phoneticPr fontId="4"/>
  </si>
  <si>
    <t>シートA（方位別計算）</t>
    <phoneticPr fontId="4"/>
  </si>
  <si>
    <t>付属部材による補正熱貫流率に関する修正</t>
    <phoneticPr fontId="4"/>
  </si>
  <si>
    <t>天窓における付属部材による補正熱貫流率に関する修正</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</si>
  <si>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</si>
  <si>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</si>
  <si>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</si>
  <si>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</si>
  <si>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</si>
  <si>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</si>
  <si>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</si>
  <si>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</si>
  <si>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</si>
  <si>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</si>
  <si>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</si>
  <si>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熱貫流率
[W/(m・K)]</t>
    <rPh sb="0" eb="1">
      <t>ネツ</t>
    </rPh>
    <rPh sb="1" eb="3">
      <t>カンリュウ</t>
    </rPh>
    <rPh sb="3" eb="4">
      <t>リツ</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</si>
  <si>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</si>
  <si>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</si>
  <si>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</si>
  <si>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</si>
  <si>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</si>
  <si>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</si>
  <si>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</si>
  <si>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4"/>
  </si>
  <si>
    <t>このシートは、内訳計算シートCにて旧計算法を選択した場合に、２）の線熱貫流率へ入力する値を計算する為のシートです。
算出された線熱貫流率は、内訳計算シートCに転記をしてください。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35"/>
  </si>
  <si>
    <t>新旧</t>
    <rPh sb="0" eb="2">
      <t>シンキュウ</t>
    </rPh>
    <phoneticPr fontId="25"/>
  </si>
  <si>
    <t>はじめにどちらかをご選択ください→</t>
    <phoneticPr fontId="25"/>
  </si>
  <si>
    <t>新計算法</t>
    <rPh sb="0" eb="1">
      <t>シン</t>
    </rPh>
    <rPh sb="1" eb="4">
      <t>ケイサンホウ</t>
    </rPh>
    <phoneticPr fontId="25"/>
  </si>
  <si>
    <t>旧計算法</t>
    <rPh sb="0" eb="1">
      <t>キュウ</t>
    </rPh>
    <rPh sb="1" eb="4">
      <t>ケイサンホウ</t>
    </rPh>
    <phoneticPr fontId="25"/>
  </si>
  <si>
    <t>※3）において温度差係数を分けて計算する場合、上表は分けて入力して下さい。その際、面積は重複しないように片方のみを入力して下さい。</t>
    <rPh sb="13" eb="14">
      <t>ワ</t>
    </rPh>
    <rPh sb="16" eb="18">
      <t>ケイサン</t>
    </rPh>
    <phoneticPr fontId="4"/>
  </si>
  <si>
    <t>4）</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</si>
  <si>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</si>
  <si>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</si>
  <si>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r>
      <t>m</t>
    </r>
    <r>
      <rPr>
        <vertAlign val="subscript"/>
        <sz val="11"/>
        <rFont val="ＭＳ Ｐゴシック"/>
        <family val="3"/>
        <charset val="128"/>
      </rPr>
      <t>h</t>
    </r>
    <phoneticPr fontId="4"/>
  </si>
  <si>
    <r>
      <t>m</t>
    </r>
    <r>
      <rPr>
        <vertAlign val="subscript"/>
        <sz val="11"/>
        <rFont val="ＭＳ Ｐゴシック"/>
        <family val="3"/>
        <charset val="128"/>
      </rPr>
      <t>c</t>
    </r>
    <phoneticPr fontId="4"/>
  </si>
  <si>
    <t>q</t>
    <phoneticPr fontId="4"/>
  </si>
  <si>
    <t>小計（端数処理なし）</t>
    <rPh sb="0" eb="2">
      <t>ショウケイ</t>
    </rPh>
    <rPh sb="3" eb="7">
      <t>ハスウショリ</t>
    </rPh>
    <phoneticPr fontId="4"/>
  </si>
  <si>
    <t>選択地域区分による基準値</t>
    <rPh sb="0" eb="2">
      <t>センタク</t>
    </rPh>
    <rPh sb="2" eb="6">
      <t>チイキクブン</t>
    </rPh>
    <rPh sb="9" eb="12">
      <t>キジュンチ</t>
    </rPh>
    <phoneticPr fontId="4"/>
  </si>
  <si>
    <t>リンクセル</t>
    <phoneticPr fontId="4"/>
  </si>
  <si>
    <t>等級5</t>
    <phoneticPr fontId="4"/>
  </si>
  <si>
    <r>
      <t>η</t>
    </r>
    <r>
      <rPr>
        <vertAlign val="subscript"/>
        <sz val="11"/>
        <rFont val="ＭＳ Ｐゴシック"/>
        <family val="3"/>
        <charset val="128"/>
      </rPr>
      <t>AC</t>
    </r>
    <phoneticPr fontId="4"/>
  </si>
  <si>
    <r>
      <t>Ｕ</t>
    </r>
    <r>
      <rPr>
        <vertAlign val="subscript"/>
        <sz val="11"/>
        <rFont val="ＭＳ Ｐゴシック"/>
        <family val="3"/>
        <charset val="128"/>
      </rPr>
      <t>A</t>
    </r>
    <phoneticPr fontId="4"/>
  </si>
  <si>
    <t>等級５</t>
    <rPh sb="0" eb="2">
      <t>トウキュウ</t>
    </rPh>
    <phoneticPr fontId="4"/>
  </si>
  <si>
    <t>シート共通条件・結果</t>
    <rPh sb="3" eb="7">
      <t>キョウツウジョウケン</t>
    </rPh>
    <rPh sb="8" eb="10">
      <t>ケッカ</t>
    </rPh>
    <phoneticPr fontId="4"/>
  </si>
  <si>
    <t>等級5対応</t>
    <rPh sb="0" eb="2">
      <t>トウキュウ</t>
    </rPh>
    <rPh sb="3" eb="5">
      <t>タイオウ</t>
    </rPh>
    <phoneticPr fontId="4"/>
  </si>
  <si>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4"/>
  </si>
  <si>
    <r>
      <t xml:space="preserve">ドア </t>
    </r>
    <r>
      <rPr>
        <b/>
        <sz val="11"/>
        <rFont val="HG丸ｺﾞｼｯｸM-PRO"/>
        <family val="3"/>
        <charset val="128"/>
      </rPr>
      <t>＜東面＞</t>
    </r>
    <r>
      <rPr>
        <sz val="11"/>
        <rFont val="HG丸ｺﾞｼｯｸM-PRO"/>
        <family val="3"/>
        <charset val="128"/>
      </rPr>
      <t xml:space="preserve"> 各値合計</t>
    </r>
    <phoneticPr fontId="4"/>
  </si>
  <si>
    <t>　注１：本計算シートの計算方法は、（国研）建築研究所が示す外皮性能の計算方法を原則遵守しています。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</si>
  <si>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新旧計算の選択、入力可能欄の追加対応、説明の追記</t>
    <rPh sb="0" eb="2">
      <t>シンキュウ</t>
    </rPh>
    <rPh sb="2" eb="4">
      <t>ケイサン</t>
    </rPh>
    <rPh sb="5" eb="7">
      <t>センタク</t>
    </rPh>
    <rPh sb="8" eb="10">
      <t>ニュウリョク</t>
    </rPh>
    <rPh sb="10" eb="13">
      <t>カノウラン</t>
    </rPh>
    <rPh sb="14" eb="16">
      <t>ツイカ</t>
    </rPh>
    <rPh sb="16" eb="18">
      <t>タイオウ</t>
    </rPh>
    <rPh sb="19" eb="21">
      <t>セツメイ</t>
    </rPh>
    <rPh sb="22" eb="24">
      <t>ツイキ</t>
    </rPh>
    <phoneticPr fontId="4"/>
  </si>
  <si>
    <t>5）</t>
    <phoneticPr fontId="4"/>
  </si>
  <si>
    <t>天窓の暖房期日射熱取得量に関する不具合の修正</t>
    <phoneticPr fontId="4"/>
  </si>
  <si>
    <t>庇による補正計算に関する不具合の修正</t>
    <rPh sb="4" eb="8">
      <t>ホセイケイサン</t>
    </rPh>
    <rPh sb="9" eb="10">
      <t>カン</t>
    </rPh>
    <rPh sb="12" eb="15">
      <t>フグアイ</t>
    </rPh>
    <rPh sb="16" eb="18">
      <t>シュウセイ</t>
    </rPh>
    <phoneticPr fontId="4"/>
  </si>
  <si>
    <t>2）土間等の外周長さと線熱貫流率の入力</t>
    <phoneticPr fontId="25"/>
  </si>
  <si>
    <t>1）土間床等の面積の入力</t>
    <rPh sb="2" eb="4">
      <t>ドマ</t>
    </rPh>
    <rPh sb="4" eb="5">
      <t>ユカ</t>
    </rPh>
    <rPh sb="5" eb="6">
      <t>トウ</t>
    </rPh>
    <rPh sb="7" eb="9">
      <t>メンセキ</t>
    </rPh>
    <rPh sb="10" eb="12">
      <t>ニュウリョク</t>
    </rPh>
    <phoneticPr fontId="4"/>
  </si>
  <si>
    <t>Ver2.2</t>
    <phoneticPr fontId="4"/>
  </si>
  <si>
    <t>Ver2.3</t>
    <phoneticPr fontId="4"/>
  </si>
  <si>
    <t>旧計算時の基礎壁入力の適用、図の挿入</t>
    <rPh sb="0" eb="3">
      <t>キュウケイサン</t>
    </rPh>
    <rPh sb="3" eb="4">
      <t>ジ</t>
    </rPh>
    <rPh sb="5" eb="7">
      <t>キソ</t>
    </rPh>
    <rPh sb="7" eb="8">
      <t>カベ</t>
    </rPh>
    <rPh sb="8" eb="10">
      <t>ニュウリョク</t>
    </rPh>
    <rPh sb="11" eb="13">
      <t>テキヨウ</t>
    </rPh>
    <rPh sb="14" eb="15">
      <t>ズ</t>
    </rPh>
    <rPh sb="16" eb="18">
      <t>ソウニュウ</t>
    </rPh>
    <phoneticPr fontId="4"/>
  </si>
  <si>
    <t>3）基礎壁等の入力</t>
    <rPh sb="2" eb="4">
      <t>キソ</t>
    </rPh>
    <rPh sb="4" eb="5">
      <t>カベ</t>
    </rPh>
    <rPh sb="5" eb="6">
      <t>ナド</t>
    </rPh>
    <rPh sb="7" eb="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</si>
</sst>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_ "/>
    <numFmt numFmtId="179" formatCode="0.0_ "/>
    <numFmt numFmtId="180" formatCode="0.00;_퐀"/>
    <numFmt numFmtId="181" formatCode="0.0_);[Red]\(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1"/>
      <name val="ＭＳ ゴシック"/>
      <family val="3"/>
      <charset val="128"/>
    </font>
    <font>
      <sz val="10.5"/>
      <name val="ＭＳ ゴシック"/>
      <family val="3"/>
      <charset val="128"/>
    </font>
    <font>
      <sz val="11"/>
      <color theme="1"/>
      <name val="ＭＳ ゴシック"/>
      <family val="3"/>
      <charset val="128"/>
    </font>
    <font>
      <sz val="10.5"/>
      <color theme="1"/>
      <name val="ＭＳ ゴシック"/>
      <family val="3"/>
      <charset val="128"/>
    </font>
    <font>
      <sz val="10"/>
      <color theme="1"/>
      <name val="ＭＳ Ｐゴシック"/>
      <family val="3"/>
      <charset val="128"/>
    </font>
    <font>
      <sz val="10"/>
      <color theme="0"/>
      <name val="ＭＳ Ｐゴシック"/>
      <family val="3"/>
      <charset val="128"/>
    </font>
    <font>
      <sz val="9"/>
      <color indexed="81"/>
      <name val="MS P 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sz val="8"/>
      <name val="ＭＳ Ｐゴシック"/>
      <family val="3"/>
      <charset val="128"/>
    </font>
    <font>
      <sz val="10"/>
      <color rgb="FFFF0000"/>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32">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603">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1" fillId="0" borderId="6"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2" fontId="8" fillId="0" borderId="0" xfId="1" applyNumberFormat="1" applyFont="1" applyBorder="1" applyAlignment="1">
      <alignment horizontal="right" vertical="center"/>
    </xf>
    <xf numFmtId="2" fontId="0" fillId="0" borderId="0" xfId="1" applyNumberFormat="1" applyFont="1" applyBorder="1"/>
    <xf numFmtId="0" fontId="5" fillId="2" borderId="13" xfId="0" applyFont="1" applyFill="1" applyBorder="1" applyAlignment="1">
      <alignment vertical="center"/>
    </xf>
    <xf numFmtId="0" fontId="5" fillId="2" borderId="14" xfId="0" applyFont="1" applyFill="1" applyBorder="1" applyAlignment="1">
      <alignment vertical="center"/>
    </xf>
    <xf numFmtId="2" fontId="10" fillId="0" borderId="0" xfId="0" applyNumberFormat="1" applyFont="1" applyAlignment="1">
      <alignment horizontal="center" vertical="center"/>
    </xf>
    <xf numFmtId="0" fontId="0" fillId="0" borderId="0" xfId="0" applyBorder="1"/>
    <xf numFmtId="0" fontId="5"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vertical="center" wrapText="1"/>
    </xf>
    <xf numFmtId="0" fontId="5" fillId="0" borderId="0" xfId="0" applyFont="1" applyBorder="1" applyAlignment="1">
      <alignment vertical="center" wrapText="1"/>
    </xf>
    <xf numFmtId="179" fontId="5" fillId="0" borderId="0" xfId="0" applyNumberFormat="1" applyFont="1" applyAlignment="1" applyProtection="1">
      <alignment vertical="center"/>
    </xf>
    <xf numFmtId="179" fontId="5" fillId="0" borderId="0" xfId="0" applyNumberFormat="1" applyFont="1" applyAlignment="1"/>
    <xf numFmtId="0" fontId="5" fillId="0" borderId="0" xfId="0" applyFont="1" applyFill="1" applyBorder="1" applyAlignment="1">
      <alignment horizontal="center" vertical="center"/>
    </xf>
    <xf numFmtId="2" fontId="8" fillId="0" borderId="0" xfId="0" applyNumberFormat="1" applyFont="1" applyAlignment="1">
      <alignment horizontal="center" vertical="center"/>
    </xf>
    <xf numFmtId="0" fontId="5" fillId="0" borderId="0" xfId="0" applyFont="1" applyFill="1" applyAlignment="1">
      <alignment vertical="center"/>
    </xf>
    <xf numFmtId="0" fontId="10" fillId="0" borderId="0" xfId="0" applyFont="1" applyFill="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29" xfId="0" applyFont="1" applyFill="1" applyBorder="1" applyAlignment="1">
      <alignment horizontal="center" vertical="center"/>
    </xf>
    <xf numFmtId="0" fontId="10" fillId="0" borderId="29" xfId="0" applyFont="1" applyFill="1" applyBorder="1" applyAlignment="1">
      <alignment vertical="center"/>
    </xf>
    <xf numFmtId="0" fontId="10" fillId="0" borderId="0" xfId="0" applyFont="1" applyFill="1" applyBorder="1" applyAlignment="1">
      <alignment vertical="center"/>
    </xf>
    <xf numFmtId="0" fontId="0" fillId="0" borderId="0" xfId="0" applyAlignment="1">
      <alignment horizontal="center" vertical="center"/>
    </xf>
    <xf numFmtId="0" fontId="8" fillId="0" borderId="0" xfId="1" applyNumberFormat="1" applyFont="1" applyFill="1" applyBorder="1" applyAlignment="1">
      <alignment vertical="center"/>
    </xf>
    <xf numFmtId="0" fontId="5" fillId="0" borderId="0" xfId="0" applyFont="1" applyAlignment="1">
      <alignment horizontal="center" vertical="center"/>
    </xf>
    <xf numFmtId="0" fontId="8" fillId="3" borderId="9" xfId="0" applyFont="1" applyFill="1" applyBorder="1" applyAlignment="1">
      <alignment vertical="center"/>
    </xf>
    <xf numFmtId="0" fontId="8" fillId="3" borderId="37" xfId="0" applyFont="1" applyFill="1" applyBorder="1" applyAlignment="1">
      <alignment vertical="center"/>
    </xf>
    <xf numFmtId="0" fontId="10" fillId="0" borderId="0" xfId="0" applyFont="1" applyBorder="1" applyAlignment="1">
      <alignment vertical="center"/>
    </xf>
    <xf numFmtId="178" fontId="5" fillId="0" borderId="5" xfId="0" applyNumberFormat="1" applyFont="1" applyBorder="1" applyAlignment="1">
      <alignment vertical="center"/>
    </xf>
    <xf numFmtId="178" fontId="11" fillId="0" borderId="5" xfId="0" applyNumberFormat="1" applyFont="1" applyBorder="1" applyAlignment="1">
      <alignment vertical="center"/>
    </xf>
    <xf numFmtId="178" fontId="11" fillId="0" borderId="15"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0" fontId="5" fillId="0" borderId="0" xfId="0" applyFont="1" applyAlignment="1" applyProtection="1">
      <alignment vertical="center"/>
      <protection locked="0"/>
    </xf>
    <xf numFmtId="0" fontId="3" fillId="2" borderId="6" xfId="1" applyNumberFormat="1" applyFont="1" applyFill="1" applyBorder="1" applyAlignment="1">
      <alignment horizontal="center" vertical="center"/>
    </xf>
    <xf numFmtId="0" fontId="3" fillId="2" borderId="17" xfId="1" applyNumberFormat="1" applyFont="1" applyFill="1" applyBorder="1" applyAlignment="1">
      <alignment horizontal="center" vertical="center"/>
    </xf>
    <xf numFmtId="0" fontId="21" fillId="0" borderId="0" xfId="0" applyFont="1" applyAlignment="1">
      <alignment wrapText="1"/>
    </xf>
    <xf numFmtId="0" fontId="22" fillId="0" borderId="0" xfId="0" applyFont="1" applyAlignment="1">
      <alignment horizontal="left" vertical="center" wrapText="1"/>
    </xf>
    <xf numFmtId="0" fontId="21" fillId="0" borderId="0" xfId="0" applyFont="1" applyAlignment="1">
      <alignment vertical="top" wrapText="1"/>
    </xf>
    <xf numFmtId="0" fontId="23" fillId="0" borderId="0" xfId="0" applyFont="1" applyFill="1" applyAlignment="1">
      <alignment vertical="top" wrapText="1"/>
    </xf>
    <xf numFmtId="0" fontId="24" fillId="0" borderId="0" xfId="0" applyFont="1" applyFill="1" applyAlignment="1">
      <alignment horizontal="left" vertical="center" wrapText="1"/>
    </xf>
    <xf numFmtId="179" fontId="5" fillId="0" borderId="0" xfId="0" applyNumberFormat="1"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vertical="center" wrapText="1"/>
    </xf>
    <xf numFmtId="0" fontId="5" fillId="0" borderId="121" xfId="0" applyFont="1" applyBorder="1" applyAlignment="1">
      <alignment vertical="center" wrapText="1"/>
    </xf>
    <xf numFmtId="0" fontId="5" fillId="0" borderId="122" xfId="0" applyFont="1" applyBorder="1" applyAlignment="1">
      <alignment vertical="center" wrapText="1"/>
    </xf>
    <xf numFmtId="0" fontId="5" fillId="0" borderId="123" xfId="0" applyFont="1" applyBorder="1" applyAlignment="1">
      <alignment vertical="center" wrapText="1"/>
    </xf>
    <xf numFmtId="0" fontId="5" fillId="0" borderId="5"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4"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wrapText="1"/>
    </xf>
    <xf numFmtId="0" fontId="11" fillId="0" borderId="6" xfId="0" applyFont="1" applyBorder="1" applyAlignment="1">
      <alignment vertical="top"/>
    </xf>
    <xf numFmtId="0" fontId="11" fillId="0" borderId="5" xfId="0" applyFont="1" applyBorder="1" applyAlignment="1">
      <alignment vertical="center"/>
    </xf>
    <xf numFmtId="0" fontId="11" fillId="0" borderId="15" xfId="0" applyFont="1" applyBorder="1" applyAlignment="1">
      <alignment vertical="center"/>
    </xf>
    <xf numFmtId="0" fontId="5" fillId="0" borderId="30" xfId="0" applyFont="1" applyBorder="1" applyAlignment="1">
      <alignment vertical="center"/>
    </xf>
    <xf numFmtId="0" fontId="5" fillId="0" borderId="18"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5" fillId="0" borderId="95" xfId="0" applyFont="1" applyBorder="1" applyAlignment="1">
      <alignment horizontal="center" vertical="center" wrapText="1"/>
    </xf>
    <xf numFmtId="0" fontId="5" fillId="0" borderId="129" xfId="0" applyFont="1" applyBorder="1" applyAlignment="1">
      <alignment vertical="center" wrapText="1"/>
    </xf>
    <xf numFmtId="0" fontId="5" fillId="0" borderId="98" xfId="0" applyFont="1" applyBorder="1" applyAlignment="1">
      <alignment vertical="center" wrapText="1"/>
    </xf>
    <xf numFmtId="0" fontId="5" fillId="0" borderId="130" xfId="0" applyFont="1" applyBorder="1" applyAlignment="1">
      <alignment vertical="center" wrapText="1"/>
    </xf>
    <xf numFmtId="0" fontId="5" fillId="0" borderId="111" xfId="0" applyFont="1" applyBorder="1" applyAlignment="1">
      <alignment vertical="center"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9" fillId="0" borderId="0" xfId="0" applyFont="1" applyAlignment="1" applyProtection="1">
      <alignment vertical="center" shrinkToFit="1"/>
    </xf>
    <xf numFmtId="0" fontId="0" fillId="0" borderId="18" xfId="0" applyBorder="1" applyAlignment="1">
      <alignment horizontal="center" vertical="center"/>
    </xf>
    <xf numFmtId="0" fontId="5" fillId="0" borderId="0" xfId="0" applyFont="1" applyAlignment="1">
      <alignment horizontal="center" vertical="center"/>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18" xfId="5" applyFont="1" applyBorder="1" applyAlignment="1">
      <alignment horizontal="center" vertical="center"/>
    </xf>
    <xf numFmtId="0" fontId="25" fillId="0" borderId="18" xfId="5" quotePrefix="1" applyFont="1" applyBorder="1" applyAlignment="1">
      <alignment horizontal="center" vertical="center"/>
    </xf>
    <xf numFmtId="0" fontId="25" fillId="0" borderId="18" xfId="5" applyFont="1" applyBorder="1" applyAlignment="1">
      <alignment horizontal="center" vertical="center"/>
    </xf>
    <xf numFmtId="0" fontId="38" fillId="0" borderId="0" xfId="0" applyFont="1" applyAlignment="1">
      <alignment vertical="top"/>
    </xf>
    <xf numFmtId="0" fontId="32" fillId="3" borderId="18" xfId="0" applyFont="1" applyFill="1" applyBorder="1" applyAlignment="1">
      <alignment vertical="center"/>
    </xf>
    <xf numFmtId="0" fontId="32" fillId="3" borderId="31" xfId="0" applyFont="1" applyFill="1" applyBorder="1" applyAlignment="1">
      <alignment vertical="center"/>
    </xf>
    <xf numFmtId="0" fontId="5" fillId="0" borderId="18" xfId="0" applyFont="1" applyBorder="1" applyAlignment="1" applyProtection="1">
      <alignment horizontal="center" vertical="center"/>
      <protection locked="0"/>
    </xf>
    <xf numFmtId="0" fontId="32" fillId="0" borderId="0" xfId="0" applyFont="1"/>
    <xf numFmtId="0" fontId="10" fillId="0" borderId="0" xfId="0" applyFont="1" applyAlignment="1">
      <alignment horizontal="center" vertical="center"/>
    </xf>
    <xf numFmtId="178" fontId="5" fillId="0" borderId="0" xfId="0" applyNumberFormat="1" applyFont="1" applyAlignment="1">
      <alignment horizontal="center" vertical="center"/>
    </xf>
    <xf numFmtId="0" fontId="26" fillId="0" borderId="0" xfId="0" applyFont="1" applyAlignment="1">
      <alignment vertical="center"/>
    </xf>
    <xf numFmtId="0" fontId="29" fillId="0" borderId="0" xfId="6" applyFont="1" applyAlignment="1">
      <alignment horizontal="center" vertical="center"/>
    </xf>
    <xf numFmtId="0" fontId="25" fillId="0" borderId="0" xfId="0" quotePrefix="1" applyFont="1" applyAlignment="1">
      <alignment horizontal="center" vertical="center"/>
    </xf>
    <xf numFmtId="0" fontId="25" fillId="0" borderId="0" xfId="0" applyFont="1" applyAlignment="1">
      <alignment horizontal="center" vertical="center"/>
    </xf>
    <xf numFmtId="0" fontId="28" fillId="0" borderId="0" xfId="6" applyFont="1" applyAlignment="1">
      <alignment horizontal="center" vertical="center"/>
    </xf>
    <xf numFmtId="0" fontId="30" fillId="0" borderId="114" xfId="7" applyFont="1" applyBorder="1" applyAlignment="1">
      <alignment horizontal="center" vertical="center"/>
    </xf>
    <xf numFmtId="0" fontId="32"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0" fillId="0" borderId="18" xfId="0"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center" vertical="center"/>
    </xf>
    <xf numFmtId="0" fontId="0" fillId="0" borderId="18" xfId="0" applyBorder="1" applyAlignment="1">
      <alignment vertical="center"/>
    </xf>
    <xf numFmtId="0" fontId="0" fillId="0" borderId="0" xfId="0" applyAlignment="1">
      <alignment vertical="center" wrapText="1"/>
    </xf>
    <xf numFmtId="178" fontId="0" fillId="0" borderId="18" xfId="0" applyNumberFormat="1" applyBorder="1" applyAlignment="1">
      <alignment horizontal="center" vertical="center"/>
    </xf>
    <xf numFmtId="181" fontId="0" fillId="0" borderId="18" xfId="0" applyNumberFormat="1" applyBorder="1" applyAlignment="1">
      <alignment horizontal="center" vertical="center"/>
    </xf>
    <xf numFmtId="0" fontId="0" fillId="0" borderId="18" xfId="0" applyBorder="1" applyAlignment="1" applyProtection="1">
      <alignment horizontal="center" vertical="center"/>
      <protection locked="0"/>
    </xf>
    <xf numFmtId="0" fontId="5" fillId="3" borderId="29" xfId="0" applyFont="1" applyFill="1" applyBorder="1" applyAlignment="1">
      <alignment vertical="center"/>
    </xf>
    <xf numFmtId="0" fontId="5" fillId="3" borderId="8" xfId="0" applyFont="1" applyFill="1" applyBorder="1" applyAlignment="1">
      <alignment vertical="center"/>
    </xf>
    <xf numFmtId="176" fontId="41" fillId="0" borderId="18" xfId="0" applyNumberFormat="1" applyFont="1" applyBorder="1" applyAlignment="1">
      <alignment horizontal="center" vertical="center"/>
    </xf>
    <xf numFmtId="0" fontId="41" fillId="0" borderId="18" xfId="0" applyFont="1" applyBorder="1" applyAlignment="1">
      <alignment horizontal="center" vertical="center"/>
    </xf>
    <xf numFmtId="0" fontId="41" fillId="0" borderId="52" xfId="0" applyFont="1" applyBorder="1" applyAlignment="1">
      <alignment horizontal="center" vertical="center"/>
    </xf>
    <xf numFmtId="0" fontId="11" fillId="0" borderId="0" xfId="0" applyFont="1" applyAlignment="1">
      <alignment horizontal="left" vertical="center"/>
    </xf>
    <xf numFmtId="178" fontId="41" fillId="0" borderId="18" xfId="0" applyNumberFormat="1"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67" xfId="0" applyFont="1" applyBorder="1" applyAlignment="1">
      <alignment vertical="center" wrapText="1"/>
    </xf>
    <xf numFmtId="0" fontId="5" fillId="0" borderId="116" xfId="0" applyFont="1" applyBorder="1" applyAlignment="1">
      <alignment vertical="center" wrapText="1"/>
    </xf>
    <xf numFmtId="0" fontId="5" fillId="0" borderId="31" xfId="0" applyFont="1" applyBorder="1" applyAlignment="1">
      <alignment vertical="center" wrapText="1"/>
    </xf>
    <xf numFmtId="0" fontId="5" fillId="0" borderId="18" xfId="0" applyFont="1" applyBorder="1" applyAlignment="1">
      <alignment horizontal="center" vertical="center" wrapText="1"/>
    </xf>
    <xf numFmtId="14" fontId="5" fillId="0" borderId="31" xfId="0" applyNumberFormat="1" applyFont="1" applyBorder="1" applyAlignment="1">
      <alignment horizontal="center" vertical="center" wrapText="1"/>
    </xf>
    <xf numFmtId="0" fontId="21" fillId="0" borderId="0" xfId="0" applyFont="1" applyAlignment="1">
      <alignment horizontal="left"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0" fillId="0" borderId="18" xfId="0"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2" borderId="13" xfId="0" applyFont="1" applyFill="1" applyBorder="1" applyAlignment="1">
      <alignment horizontal="right" vertical="center"/>
    </xf>
    <xf numFmtId="0" fontId="10" fillId="3" borderId="13" xfId="0" applyFont="1" applyFill="1" applyBorder="1" applyAlignment="1" applyProtection="1">
      <alignment horizontal="center" vertical="center"/>
      <protection locked="0"/>
    </xf>
    <xf numFmtId="0" fontId="0" fillId="0" borderId="52" xfId="0" applyBorder="1" applyAlignment="1">
      <alignment horizontal="center" vertical="center"/>
    </xf>
    <xf numFmtId="0" fontId="0" fillId="0" borderId="31" xfId="0"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3" borderId="5"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10" fillId="3" borderId="4"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5" fillId="2" borderId="52" xfId="0" applyFont="1" applyFill="1" applyBorder="1" applyAlignment="1">
      <alignment horizontal="center" vertical="center"/>
    </xf>
    <xf numFmtId="0" fontId="5" fillId="2" borderId="4"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8" fillId="0" borderId="51" xfId="0" applyFont="1" applyBorder="1" applyAlignment="1">
      <alignment horizontal="right" vertical="center"/>
    </xf>
    <xf numFmtId="0" fontId="8" fillId="0" borderId="6" xfId="0" applyFont="1" applyBorder="1" applyAlignment="1">
      <alignment horizontal="right" vertical="center"/>
    </xf>
    <xf numFmtId="0" fontId="8" fillId="0" borderId="13" xfId="0" applyFont="1" applyBorder="1" applyAlignment="1">
      <alignment horizontal="right" vertical="center"/>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0" fontId="8" fillId="0" borderId="7" xfId="0" applyFont="1" applyBorder="1" applyAlignment="1">
      <alignment horizontal="right" vertical="center"/>
    </xf>
    <xf numFmtId="0" fontId="5" fillId="0" borderId="5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0" borderId="51"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0" fontId="11" fillId="0" borderId="6" xfId="0" applyFont="1" applyBorder="1" applyAlignment="1">
      <alignment horizontal="left" vertical="center"/>
    </xf>
    <xf numFmtId="0" fontId="11" fillId="0" borderId="17" xfId="0" applyFont="1" applyBorder="1" applyAlignment="1">
      <alignment horizontal="left" vertical="center"/>
    </xf>
    <xf numFmtId="0" fontId="3" fillId="2" borderId="13" xfId="1" applyNumberFormat="1" applyFont="1" applyFill="1" applyBorder="1" applyAlignment="1">
      <alignment horizontal="center" vertical="center"/>
    </xf>
    <xf numFmtId="0" fontId="3" fillId="2" borderId="14" xfId="1" applyNumberFormat="1"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35"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9" fillId="0" borderId="53"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5" fillId="4" borderId="52"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131" xfId="0" applyFont="1" applyBorder="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179" fontId="8" fillId="0" borderId="53"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9" fillId="0" borderId="52" xfId="0" applyFont="1" applyBorder="1" applyAlignment="1">
      <alignment horizontal="center" vertical="center"/>
    </xf>
    <xf numFmtId="0" fontId="19" fillId="0" borderId="4" xfId="0" applyFont="1" applyBorder="1" applyAlignment="1">
      <alignment horizontal="center" vertical="center"/>
    </xf>
    <xf numFmtId="0" fontId="19" fillId="0" borderId="19" xfId="0" applyFont="1" applyBorder="1" applyAlignment="1">
      <alignment horizontal="center" vertical="center"/>
    </xf>
    <xf numFmtId="0" fontId="8" fillId="0" borderId="8" xfId="0" applyFont="1" applyBorder="1" applyAlignment="1">
      <alignment horizontal="right" vertical="center"/>
    </xf>
    <xf numFmtId="0" fontId="8" fillId="0" borderId="5" xfId="0" applyFont="1" applyBorder="1" applyAlignment="1">
      <alignment horizontal="right" vertical="center"/>
    </xf>
    <xf numFmtId="0" fontId="11" fillId="0" borderId="5" xfId="0" applyFont="1" applyBorder="1" applyAlignment="1">
      <alignment horizontal="center" vertical="center"/>
    </xf>
    <xf numFmtId="0" fontId="11" fillId="0" borderId="58" xfId="0" applyFont="1" applyBorder="1" applyAlignment="1">
      <alignment horizontal="center" vertical="center"/>
    </xf>
    <xf numFmtId="178" fontId="8" fillId="0" borderId="35"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19" xfId="0" applyFont="1" applyBorder="1" applyAlignment="1">
      <alignment horizontal="center" vertical="center" shrinkToFit="1"/>
    </xf>
    <xf numFmtId="0" fontId="10" fillId="0" borderId="25" xfId="0" applyFont="1" applyBorder="1" applyAlignment="1">
      <alignment horizontal="center" vertical="center"/>
    </xf>
    <xf numFmtId="0" fontId="10" fillId="0" borderId="23" xfId="0" applyFont="1" applyBorder="1" applyAlignment="1">
      <alignment horizontal="center" vertical="center"/>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6" fillId="0" borderId="5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3" xfId="0" applyFont="1" applyBorder="1" applyAlignment="1">
      <alignment horizontal="center" vertical="center" textRotation="255"/>
    </xf>
    <xf numFmtId="178" fontId="5" fillId="0" borderId="5" xfId="0" applyNumberFormat="1" applyFont="1" applyBorder="1" applyAlignment="1">
      <alignment horizontal="center" vertical="center"/>
    </xf>
    <xf numFmtId="0" fontId="25" fillId="0" borderId="5" xfId="0" applyFont="1" applyBorder="1" applyAlignment="1">
      <alignment horizontal="center" vertical="center" shrinkToFit="1"/>
    </xf>
    <xf numFmtId="0" fontId="5" fillId="0" borderId="5" xfId="0" applyFont="1" applyBorder="1" applyAlignment="1">
      <alignment vertical="center" shrinkToFit="1"/>
    </xf>
    <xf numFmtId="180"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68" xfId="0" applyNumberFormat="1" applyFont="1" applyBorder="1" applyAlignment="1">
      <alignment horizontal="center" vertical="center"/>
    </xf>
    <xf numFmtId="178" fontId="5" fillId="0" borderId="49" xfId="0" applyNumberFormat="1" applyFont="1" applyBorder="1" applyAlignment="1">
      <alignment horizontal="center" vertical="center"/>
    </xf>
    <xf numFmtId="178" fontId="5" fillId="0" borderId="64" xfId="0" applyNumberFormat="1" applyFont="1" applyBorder="1" applyAlignment="1">
      <alignment horizontal="center" vertical="center"/>
    </xf>
    <xf numFmtId="178" fontId="5" fillId="0" borderId="69" xfId="0" applyNumberFormat="1" applyFont="1" applyBorder="1" applyAlignment="1">
      <alignment horizontal="center" vertical="center"/>
    </xf>
    <xf numFmtId="49" fontId="9" fillId="3" borderId="44" xfId="0" applyNumberFormat="1" applyFont="1" applyFill="1" applyBorder="1" applyAlignment="1" applyProtection="1">
      <alignment horizontal="left" vertical="center" shrinkToFit="1"/>
      <protection locked="0"/>
    </xf>
    <xf numFmtId="49" fontId="9" fillId="3" borderId="47" xfId="0" applyNumberFormat="1" applyFont="1" applyFill="1" applyBorder="1" applyAlignment="1" applyProtection="1">
      <alignment horizontal="left" vertical="center" shrinkToFit="1"/>
      <protection locked="0"/>
    </xf>
    <xf numFmtId="0" fontId="9" fillId="3" borderId="45"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180" fontId="5" fillId="0" borderId="45" xfId="0" applyNumberFormat="1" applyFont="1" applyBorder="1" applyAlignment="1">
      <alignment horizontal="center" vertical="center"/>
    </xf>
    <xf numFmtId="180" fontId="5" fillId="0" borderId="47" xfId="0" applyNumberFormat="1" applyFont="1" applyBorder="1" applyAlignment="1">
      <alignment horizontal="center" vertical="center"/>
    </xf>
    <xf numFmtId="0" fontId="9" fillId="3" borderId="39" xfId="0" applyFont="1" applyFill="1" applyBorder="1" applyAlignment="1" applyProtection="1">
      <alignment horizontal="center" vertical="center" shrinkToFit="1"/>
      <protection locked="0"/>
    </xf>
    <xf numFmtId="178" fontId="5" fillId="0" borderId="39" xfId="0" applyNumberFormat="1" applyFont="1" applyBorder="1" applyAlignment="1">
      <alignment horizontal="center" vertical="center"/>
    </xf>
    <xf numFmtId="178" fontId="5" fillId="0" borderId="66" xfId="0" applyNumberFormat="1" applyFont="1" applyBorder="1" applyAlignment="1">
      <alignment horizontal="center" vertical="center"/>
    </xf>
    <xf numFmtId="178" fontId="5" fillId="0" borderId="67" xfId="0" applyNumberFormat="1" applyFont="1" applyBorder="1" applyAlignment="1">
      <alignment horizontal="center" vertical="center"/>
    </xf>
    <xf numFmtId="178" fontId="5" fillId="0" borderId="70" xfId="0" applyNumberFormat="1" applyFont="1" applyBorder="1" applyAlignment="1">
      <alignment horizontal="center" vertical="center"/>
    </xf>
    <xf numFmtId="49" fontId="9" fillId="3" borderId="48" xfId="0" applyNumberFormat="1" applyFont="1" applyFill="1" applyBorder="1" applyAlignment="1" applyProtection="1">
      <alignment horizontal="left" vertical="center" shrinkToFit="1"/>
      <protection locked="0"/>
    </xf>
    <xf numFmtId="49" fontId="9" fillId="3" borderId="49" xfId="0" applyNumberFormat="1" applyFont="1" applyFill="1" applyBorder="1" applyAlignment="1" applyProtection="1">
      <alignment horizontal="left" vertical="center" shrinkToFit="1"/>
      <protection locked="0"/>
    </xf>
    <xf numFmtId="0" fontId="9" fillId="3" borderId="68"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180" fontId="5" fillId="0" borderId="68" xfId="0" applyNumberFormat="1" applyFont="1" applyBorder="1" applyAlignment="1">
      <alignment horizontal="center" vertical="center"/>
    </xf>
    <xf numFmtId="180" fontId="5" fillId="0" borderId="49" xfId="0" applyNumberFormat="1" applyFont="1" applyBorder="1" applyAlignment="1">
      <alignment horizontal="center" vertical="center"/>
    </xf>
    <xf numFmtId="0" fontId="9" fillId="3" borderId="64" xfId="0" applyFont="1" applyFill="1" applyBorder="1" applyAlignment="1" applyProtection="1">
      <alignment horizontal="center" vertical="center" shrinkToFit="1"/>
      <protection locked="0"/>
    </xf>
    <xf numFmtId="178" fontId="5" fillId="0" borderId="13" xfId="0" applyNumberFormat="1" applyFont="1" applyBorder="1" applyAlignment="1">
      <alignment horizontal="center" vertical="center"/>
    </xf>
    <xf numFmtId="178" fontId="5" fillId="0" borderId="107" xfId="0" applyNumberFormat="1" applyFont="1" applyBorder="1" applyAlignment="1">
      <alignment horizontal="center" vertical="center"/>
    </xf>
    <xf numFmtId="49" fontId="9" fillId="3" borderId="41" xfId="0" applyNumberFormat="1" applyFont="1" applyFill="1" applyBorder="1" applyAlignment="1" applyProtection="1">
      <alignment horizontal="left" vertical="center" shrinkToFit="1"/>
      <protection locked="0"/>
    </xf>
    <xf numFmtId="49" fontId="9" fillId="3" borderId="50" xfId="0" applyNumberFormat="1"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180" fontId="5" fillId="0" borderId="42" xfId="0" applyNumberFormat="1" applyFont="1" applyBorder="1" applyAlignment="1">
      <alignment horizontal="center" vertical="center"/>
    </xf>
    <xf numFmtId="180" fontId="5" fillId="0" borderId="50" xfId="0" applyNumberFormat="1" applyFont="1" applyBorder="1" applyAlignment="1">
      <alignment horizontal="center" vertical="center"/>
    </xf>
    <xf numFmtId="0" fontId="9" fillId="3" borderId="32" xfId="0" applyFont="1" applyFill="1" applyBorder="1" applyAlignment="1" applyProtection="1">
      <alignment horizontal="center" vertical="center" shrinkToFit="1"/>
      <protection locked="0"/>
    </xf>
    <xf numFmtId="178" fontId="5" fillId="0" borderId="32" xfId="0" applyNumberFormat="1" applyFont="1" applyBorder="1" applyAlignment="1">
      <alignment horizontal="center" vertical="center"/>
    </xf>
    <xf numFmtId="178" fontId="5" fillId="0" borderId="43" xfId="0" applyNumberFormat="1" applyFont="1" applyBorder="1" applyAlignment="1">
      <alignment horizontal="center" vertical="center"/>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0"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wrapText="1"/>
    </xf>
    <xf numFmtId="178" fontId="5" fillId="0" borderId="33" xfId="0" applyNumberFormat="1" applyFont="1" applyBorder="1" applyAlignment="1">
      <alignment horizontal="center" vertical="center"/>
    </xf>
    <xf numFmtId="178" fontId="5" fillId="0" borderId="46" xfId="0" applyNumberFormat="1" applyFont="1" applyBorder="1" applyAlignment="1">
      <alignment horizontal="center" vertical="center"/>
    </xf>
    <xf numFmtId="0" fontId="5" fillId="0" borderId="36" xfId="0" applyFont="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9" fillId="3" borderId="44" xfId="0" applyFont="1" applyFill="1" applyBorder="1" applyAlignment="1" applyProtection="1">
      <alignment horizontal="left" vertical="center" shrinkToFit="1"/>
      <protection locked="0"/>
    </xf>
    <xf numFmtId="0" fontId="9" fillId="3" borderId="63" xfId="0" applyFont="1" applyFill="1" applyBorder="1" applyAlignment="1" applyProtection="1">
      <alignment horizontal="left" vertical="center" shrinkToFit="1"/>
      <protection locked="0"/>
    </xf>
    <xf numFmtId="0" fontId="9" fillId="3" borderId="47" xfId="0" applyFont="1" applyFill="1" applyBorder="1" applyAlignment="1" applyProtection="1">
      <alignment horizontal="left"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protection locked="0"/>
    </xf>
    <xf numFmtId="0" fontId="9" fillId="3" borderId="48" xfId="0" applyFont="1" applyFill="1" applyBorder="1" applyAlignment="1" applyProtection="1">
      <alignment horizontal="left" vertical="center" shrinkToFit="1"/>
      <protection locked="0"/>
    </xf>
    <xf numFmtId="0" fontId="9" fillId="3" borderId="109" xfId="0" applyFont="1" applyFill="1" applyBorder="1" applyAlignment="1" applyProtection="1">
      <alignment horizontal="left" vertical="center" shrinkToFit="1"/>
      <protection locked="0"/>
    </xf>
    <xf numFmtId="0" fontId="9" fillId="3" borderId="49" xfId="0" applyFont="1" applyFill="1" applyBorder="1" applyAlignment="1" applyProtection="1">
      <alignment horizontal="left" vertical="center" shrinkToFit="1"/>
      <protection locked="0"/>
    </xf>
    <xf numFmtId="0" fontId="9" fillId="3" borderId="86"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9" fillId="3" borderId="41" xfId="0" applyFont="1" applyFill="1" applyBorder="1" applyAlignment="1" applyProtection="1">
      <alignment horizontal="left" vertical="center" shrinkToFit="1"/>
      <protection locked="0"/>
    </xf>
    <xf numFmtId="0" fontId="9" fillId="3" borderId="62"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shrinkToFit="1"/>
      <protection locked="0"/>
    </xf>
    <xf numFmtId="0" fontId="9" fillId="3" borderId="88" xfId="0" applyFont="1" applyFill="1" applyBorder="1" applyAlignment="1" applyProtection="1">
      <alignment horizontal="center" vertical="center" shrinkToFit="1"/>
      <protection locked="0"/>
    </xf>
    <xf numFmtId="0" fontId="9" fillId="3" borderId="76"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65" xfId="0" applyFont="1" applyBorder="1" applyAlignment="1">
      <alignment horizontal="center" vertical="center"/>
    </xf>
    <xf numFmtId="0" fontId="5" fillId="0" borderId="111" xfId="0" applyFont="1" applyBorder="1" applyAlignment="1">
      <alignment horizontal="center" vertical="center"/>
    </xf>
    <xf numFmtId="0" fontId="15" fillId="0" borderId="3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38" fontId="5" fillId="0" borderId="20"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79" xfId="0" applyFont="1" applyBorder="1" applyAlignment="1">
      <alignment horizontal="center" vertical="center"/>
    </xf>
    <xf numFmtId="0" fontId="9" fillId="5" borderId="47" xfId="1" applyNumberFormat="1" applyFont="1" applyFill="1" applyBorder="1" applyAlignment="1" applyProtection="1">
      <alignment horizontal="center" vertical="center"/>
      <protection locked="0"/>
    </xf>
    <xf numFmtId="0" fontId="9" fillId="5" borderId="33" xfId="1" applyNumberFormat="1" applyFont="1" applyFill="1" applyBorder="1" applyAlignment="1" applyProtection="1">
      <alignment horizontal="center" vertical="center"/>
      <protection locked="0"/>
    </xf>
    <xf numFmtId="49" fontId="10" fillId="3" borderId="47" xfId="0" applyNumberFormat="1" applyFont="1" applyFill="1" applyBorder="1" applyAlignment="1" applyProtection="1">
      <alignment horizontal="left" vertical="center" shrinkToFit="1"/>
      <protection locked="0"/>
    </xf>
    <xf numFmtId="0" fontId="9" fillId="3" borderId="39" xfId="0" applyFont="1" applyFill="1" applyBorder="1" applyAlignment="1" applyProtection="1">
      <alignment horizontal="center" vertical="center"/>
      <protection locked="0"/>
    </xf>
    <xf numFmtId="0" fontId="5" fillId="3" borderId="45" xfId="0" applyFont="1" applyFill="1" applyBorder="1" applyAlignment="1">
      <alignment horizontal="center" vertical="center"/>
    </xf>
    <xf numFmtId="0" fontId="5" fillId="3" borderId="81" xfId="0" applyFont="1" applyFill="1" applyBorder="1" applyAlignment="1">
      <alignment horizontal="center" vertical="center"/>
    </xf>
    <xf numFmtId="0" fontId="9" fillId="5" borderId="45" xfId="1" applyNumberFormat="1" applyFont="1" applyFill="1" applyBorder="1" applyAlignment="1" applyProtection="1">
      <alignment horizontal="center" vertical="center"/>
      <protection locked="0"/>
    </xf>
    <xf numFmtId="0" fontId="9" fillId="5" borderId="75" xfId="1" applyNumberFormat="1" applyFont="1" applyFill="1" applyBorder="1" applyAlignment="1" applyProtection="1">
      <alignment horizontal="center" vertical="center"/>
      <protection locked="0"/>
    </xf>
    <xf numFmtId="0" fontId="9" fillId="5" borderId="78" xfId="1" applyNumberFormat="1" applyFont="1" applyFill="1" applyBorder="1" applyAlignment="1" applyProtection="1">
      <alignment horizontal="center" vertical="center"/>
      <protection locked="0"/>
    </xf>
    <xf numFmtId="0" fontId="5" fillId="3" borderId="68" xfId="0" applyFont="1" applyFill="1" applyBorder="1" applyAlignment="1">
      <alignment horizontal="center" vertical="center"/>
    </xf>
    <xf numFmtId="0" fontId="5" fillId="3" borderId="86" xfId="0" applyFont="1" applyFill="1" applyBorder="1" applyAlignment="1">
      <alignment horizontal="center" vertical="center"/>
    </xf>
    <xf numFmtId="0" fontId="9" fillId="5" borderId="64" xfId="1" applyNumberFormat="1" applyFont="1" applyFill="1" applyBorder="1" applyAlignment="1" applyProtection="1">
      <alignment horizontal="center" vertical="center"/>
      <protection locked="0"/>
    </xf>
    <xf numFmtId="0" fontId="9" fillId="5" borderId="68" xfId="1" applyNumberFormat="1" applyFont="1" applyFill="1" applyBorder="1" applyAlignment="1" applyProtection="1">
      <alignment horizontal="center" vertical="center"/>
      <protection locked="0"/>
    </xf>
    <xf numFmtId="0" fontId="9" fillId="5" borderId="85" xfId="1" applyNumberFormat="1" applyFont="1" applyFill="1" applyBorder="1" applyAlignment="1" applyProtection="1">
      <alignment horizontal="center" vertical="center"/>
      <protection locked="0"/>
    </xf>
    <xf numFmtId="0" fontId="9" fillId="5" borderId="87" xfId="1" applyNumberFormat="1" applyFont="1" applyFill="1" applyBorder="1" applyAlignment="1" applyProtection="1">
      <alignment horizontal="center" vertical="center"/>
      <protection locked="0"/>
    </xf>
    <xf numFmtId="0" fontId="9" fillId="5" borderId="49" xfId="1" applyNumberFormat="1" applyFont="1" applyFill="1" applyBorder="1" applyAlignment="1" applyProtection="1">
      <alignment horizontal="center" vertical="center"/>
      <protection locked="0"/>
    </xf>
    <xf numFmtId="0" fontId="9" fillId="5" borderId="80" xfId="1" applyNumberFormat="1" applyFont="1" applyFill="1" applyBorder="1" applyAlignment="1" applyProtection="1">
      <alignment horizontal="center" vertical="center"/>
      <protection locked="0"/>
    </xf>
    <xf numFmtId="49" fontId="10" fillId="3" borderId="49" xfId="0" applyNumberFormat="1" applyFont="1" applyFill="1" applyBorder="1" applyAlignment="1" applyProtection="1">
      <alignment horizontal="left" vertical="center" shrinkToFit="1"/>
      <protection locked="0"/>
    </xf>
    <xf numFmtId="0" fontId="9" fillId="3" borderId="87" xfId="0" applyFont="1" applyFill="1" applyBorder="1" applyAlignment="1" applyProtection="1">
      <alignment horizontal="center" vertical="center" shrinkToFit="1"/>
      <protection locked="0"/>
    </xf>
    <xf numFmtId="0" fontId="9" fillId="3" borderId="84" xfId="0" applyFont="1" applyFill="1" applyBorder="1" applyAlignment="1" applyProtection="1">
      <alignment horizontal="center" vertical="center" shrinkToFit="1"/>
      <protection locked="0"/>
    </xf>
    <xf numFmtId="0" fontId="9" fillId="3" borderId="85" xfId="0"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8" xfId="0" applyFont="1" applyFill="1" applyBorder="1" applyAlignment="1">
      <alignment horizontal="center" vertical="center"/>
    </xf>
    <xf numFmtId="0" fontId="9" fillId="5" borderId="32" xfId="1" applyNumberFormat="1" applyFont="1" applyFill="1" applyBorder="1" applyAlignment="1" applyProtection="1">
      <alignment horizontal="center" vertical="center"/>
      <protection locked="0"/>
    </xf>
    <xf numFmtId="0" fontId="9" fillId="5" borderId="42" xfId="1" applyNumberFormat="1" applyFont="1" applyFill="1" applyBorder="1" applyAlignment="1" applyProtection="1">
      <alignment horizontal="center" vertical="center"/>
      <protection locked="0"/>
    </xf>
    <xf numFmtId="0" fontId="9" fillId="5" borderId="77" xfId="1" applyNumberFormat="1" applyFont="1" applyFill="1" applyBorder="1" applyAlignment="1" applyProtection="1">
      <alignment horizontal="center" vertical="center"/>
      <protection locked="0"/>
    </xf>
    <xf numFmtId="0" fontId="9" fillId="5" borderId="88" xfId="1" applyNumberFormat="1" applyFont="1" applyFill="1" applyBorder="1" applyAlignment="1" applyProtection="1">
      <alignment horizontal="center" vertical="center"/>
      <protection locked="0"/>
    </xf>
    <xf numFmtId="0" fontId="9" fillId="5" borderId="50" xfId="1" applyNumberFormat="1" applyFont="1" applyFill="1" applyBorder="1" applyAlignment="1" applyProtection="1">
      <alignment horizontal="center" vertical="center"/>
      <protection locked="0"/>
    </xf>
    <xf numFmtId="178" fontId="5" fillId="0" borderId="16" xfId="0" applyNumberFormat="1" applyFont="1" applyBorder="1" applyAlignment="1">
      <alignment horizontal="center" vertical="center"/>
    </xf>
    <xf numFmtId="49" fontId="10" fillId="3" borderId="50" xfId="0" applyNumberFormat="1" applyFont="1" applyFill="1" applyBorder="1" applyAlignment="1" applyProtection="1">
      <alignment horizontal="left" vertical="center" shrinkToFit="1"/>
      <protection locked="0"/>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10" fillId="0" borderId="61" xfId="0" applyFont="1" applyBorder="1" applyAlignment="1">
      <alignment horizontal="center" vertical="center"/>
    </xf>
    <xf numFmtId="38" fontId="5" fillId="0" borderId="94" xfId="1" applyFont="1" applyFill="1" applyBorder="1" applyAlignment="1">
      <alignment horizontal="center" vertical="center"/>
    </xf>
    <xf numFmtId="38" fontId="5" fillId="0" borderId="95"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96" xfId="1" applyFont="1" applyFill="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2" fontId="8" fillId="0" borderId="0" xfId="0" applyNumberFormat="1" applyFont="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35" xfId="0" applyFont="1" applyBorder="1" applyAlignment="1">
      <alignment horizontal="center" vertical="center" shrinkToFit="1"/>
    </xf>
    <xf numFmtId="178" fontId="5" fillId="0" borderId="73" xfId="0" applyNumberFormat="1" applyFont="1" applyBorder="1" applyAlignment="1">
      <alignment horizontal="center" vertical="center"/>
    </xf>
    <xf numFmtId="0" fontId="5" fillId="0" borderId="9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4" xfId="0" applyFont="1" applyFill="1" applyBorder="1" applyAlignment="1">
      <alignment horizontal="center" vertical="center"/>
    </xf>
    <xf numFmtId="0" fontId="15" fillId="0" borderId="39" xfId="0" applyFont="1" applyFill="1" applyBorder="1" applyAlignment="1">
      <alignment horizontal="center" vertical="center" wrapText="1"/>
    </xf>
    <xf numFmtId="0" fontId="15" fillId="0" borderId="39" xfId="0" applyFont="1" applyFill="1" applyBorder="1" applyAlignment="1">
      <alignment horizontal="center" vertical="center"/>
    </xf>
    <xf numFmtId="0" fontId="15" fillId="0" borderId="2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11" xfId="0" applyFont="1" applyFill="1" applyBorder="1" applyAlignment="1">
      <alignment horizontal="center" vertical="center"/>
    </xf>
    <xf numFmtId="49" fontId="9" fillId="3" borderId="41" xfId="0" applyNumberFormat="1" applyFont="1" applyFill="1" applyBorder="1" applyAlignment="1" applyProtection="1">
      <alignment horizontal="center" vertical="center" shrinkToFit="1"/>
      <protection locked="0"/>
    </xf>
    <xf numFmtId="49" fontId="10" fillId="3" borderId="50"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49" fontId="10" fillId="3" borderId="49" xfId="0" applyNumberFormat="1" applyFont="1" applyFill="1" applyBorder="1" applyAlignment="1" applyProtection="1">
      <alignment horizontal="center" vertical="center" shrinkToFit="1"/>
      <protection locked="0"/>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60" xfId="0" applyFont="1" applyFill="1" applyBorder="1" applyAlignment="1">
      <alignment horizontal="center" vertical="center"/>
    </xf>
    <xf numFmtId="49" fontId="9" fillId="3" borderId="44" xfId="0" applyNumberFormat="1" applyFont="1" applyFill="1" applyBorder="1" applyAlignment="1" applyProtection="1">
      <alignment horizontal="center" vertical="center" shrinkToFit="1"/>
      <protection locked="0"/>
    </xf>
    <xf numFmtId="49" fontId="10" fillId="3" borderId="47"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49" fontId="9" fillId="3" borderId="50" xfId="0" applyNumberFormat="1"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178" fontId="5" fillId="2" borderId="42" xfId="0" applyNumberFormat="1" applyFont="1" applyFill="1" applyBorder="1" applyAlignment="1">
      <alignment horizontal="center" vertical="center"/>
    </xf>
    <xf numFmtId="178" fontId="5" fillId="2" borderId="50" xfId="0" applyNumberFormat="1" applyFont="1" applyFill="1" applyBorder="1" applyAlignment="1">
      <alignment horizontal="center" vertical="center"/>
    </xf>
    <xf numFmtId="178" fontId="5" fillId="0" borderId="65" xfId="0" applyNumberFormat="1" applyFont="1" applyBorder="1" applyAlignment="1">
      <alignment horizontal="center" vertical="center"/>
    </xf>
    <xf numFmtId="178" fontId="5" fillId="0" borderId="59" xfId="0" applyNumberFormat="1" applyFont="1" applyBorder="1" applyAlignment="1">
      <alignment horizontal="center" vertical="center"/>
    </xf>
    <xf numFmtId="178" fontId="5" fillId="0" borderId="42" xfId="0" applyNumberFormat="1" applyFont="1" applyBorder="1" applyAlignment="1">
      <alignment horizontal="center" vertical="center"/>
    </xf>
    <xf numFmtId="178" fontId="5" fillId="0" borderId="50" xfId="0" applyNumberFormat="1" applyFont="1" applyBorder="1" applyAlignment="1">
      <alignment horizontal="center" vertical="center"/>
    </xf>
    <xf numFmtId="179" fontId="9" fillId="3" borderId="65"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49" fontId="9" fillId="3" borderId="49" xfId="0" applyNumberFormat="1" applyFont="1" applyFill="1" applyBorder="1" applyAlignment="1" applyProtection="1">
      <alignment horizontal="center" vertical="center" shrinkToFit="1"/>
      <protection locked="0"/>
    </xf>
    <xf numFmtId="178" fontId="5" fillId="2" borderId="68" xfId="0" applyNumberFormat="1" applyFont="1" applyFill="1" applyBorder="1" applyAlignment="1">
      <alignment horizontal="center" vertical="center"/>
    </xf>
    <xf numFmtId="178" fontId="5" fillId="2" borderId="49" xfId="0" applyNumberFormat="1" applyFont="1" applyFill="1" applyBorder="1" applyAlignment="1">
      <alignment horizontal="center" vertical="center"/>
    </xf>
    <xf numFmtId="179" fontId="9" fillId="3" borderId="6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178" fontId="5" fillId="0" borderId="83" xfId="0" applyNumberFormat="1" applyFont="1" applyBorder="1" applyAlignment="1">
      <alignment horizontal="center" vertical="center"/>
    </xf>
    <xf numFmtId="178" fontId="5" fillId="0" borderId="82"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5" fillId="0" borderId="47" xfId="0" applyNumberFormat="1" applyFont="1" applyBorder="1" applyAlignment="1">
      <alignment horizontal="center" vertical="center"/>
    </xf>
    <xf numFmtId="178" fontId="5" fillId="0" borderId="102" xfId="0" applyNumberFormat="1" applyFont="1" applyBorder="1" applyAlignment="1">
      <alignment horizontal="center" vertical="center"/>
    </xf>
    <xf numFmtId="178" fontId="5" fillId="0" borderId="103"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61" xfId="0" applyNumberFormat="1" applyFont="1" applyBorder="1" applyAlignment="1">
      <alignment horizontal="center" vertical="center"/>
    </xf>
    <xf numFmtId="49" fontId="9" fillId="3" borderId="108" xfId="0" applyNumberFormat="1" applyFont="1" applyFill="1" applyBorder="1" applyAlignment="1" applyProtection="1">
      <alignment horizontal="center" vertical="center" shrinkToFit="1"/>
      <protection locked="0"/>
    </xf>
    <xf numFmtId="49" fontId="9" fillId="3" borderId="82" xfId="0" applyNumberFormat="1" applyFont="1" applyFill="1" applyBorder="1" applyAlignment="1" applyProtection="1">
      <alignment horizontal="center" vertical="center" shrinkToFit="1"/>
      <protection locked="0"/>
    </xf>
    <xf numFmtId="0" fontId="9" fillId="3" borderId="66"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178" fontId="5" fillId="2" borderId="83" xfId="0" applyNumberFormat="1" applyFont="1" applyFill="1" applyBorder="1" applyAlignment="1">
      <alignment horizontal="center" vertical="center"/>
    </xf>
    <xf numFmtId="178" fontId="5" fillId="2" borderId="82" xfId="0" applyNumberFormat="1" applyFont="1" applyFill="1" applyBorder="1" applyAlignment="1">
      <alignment horizontal="center" vertical="center"/>
    </xf>
    <xf numFmtId="179" fontId="9" fillId="3" borderId="66" xfId="0" applyNumberFormat="1" applyFont="1" applyFill="1" applyBorder="1" applyAlignment="1" applyProtection="1">
      <alignment horizontal="center" vertical="center" shrinkToFit="1"/>
      <protection locked="0"/>
    </xf>
    <xf numFmtId="179" fontId="9" fillId="3" borderId="67" xfId="0" applyNumberFormat="1" applyFont="1" applyFill="1" applyBorder="1" applyAlignment="1" applyProtection="1">
      <alignment horizontal="center" vertical="center" shrinkToFit="1"/>
      <protection locked="0"/>
    </xf>
    <xf numFmtId="0" fontId="10" fillId="0" borderId="25"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61" xfId="0" applyFont="1" applyFill="1" applyBorder="1" applyAlignment="1">
      <alignment horizontal="center" vertical="center"/>
    </xf>
    <xf numFmtId="0" fontId="6" fillId="0" borderId="51"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178" fontId="11" fillId="0" borderId="5" xfId="0" applyNumberFormat="1" applyFont="1" applyBorder="1" applyAlignment="1">
      <alignment horizontal="center" vertical="center"/>
    </xf>
    <xf numFmtId="0" fontId="11" fillId="0" borderId="5" xfId="0" applyNumberFormat="1" applyFont="1" applyBorder="1" applyAlignment="1">
      <alignment horizontal="center" vertical="center" shrinkToFit="1"/>
    </xf>
    <xf numFmtId="0" fontId="5" fillId="0" borderId="4"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49" fontId="9" fillId="3" borderId="91" xfId="0" applyNumberFormat="1" applyFont="1" applyFill="1" applyBorder="1" applyAlignment="1" applyProtection="1">
      <alignment horizontal="center" vertical="center" shrinkToFit="1"/>
      <protection locked="0"/>
    </xf>
    <xf numFmtId="49" fontId="9" fillId="3" borderId="34"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6" xfId="0" applyFont="1" applyFill="1" applyBorder="1" applyAlignment="1" applyProtection="1">
      <alignment horizontal="center" vertical="center" shrinkToFit="1"/>
      <protection locked="0"/>
    </xf>
    <xf numFmtId="49" fontId="9" fillId="3" borderId="105"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0" fontId="39" fillId="0" borderId="52" xfId="0" applyFont="1" applyBorder="1" applyAlignment="1">
      <alignment horizontal="center" vertical="center"/>
    </xf>
    <xf numFmtId="0" fontId="39" fillId="0" borderId="4" xfId="0" applyFont="1" applyBorder="1" applyAlignment="1">
      <alignment horizontal="center" vertical="center"/>
    </xf>
    <xf numFmtId="0" fontId="39" fillId="0" borderId="31" xfId="0" applyFont="1" applyBorder="1" applyAlignment="1">
      <alignment horizontal="center" vertical="center"/>
    </xf>
    <xf numFmtId="0" fontId="5" fillId="0" borderId="5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49" fontId="9" fillId="3" borderId="126" xfId="0" applyNumberFormat="1" applyFont="1" applyFill="1" applyBorder="1" applyAlignment="1" applyProtection="1">
      <alignment horizontal="center" vertical="center" shrinkToFit="1"/>
      <protection locked="0"/>
    </xf>
    <xf numFmtId="49" fontId="9" fillId="3" borderId="118" xfId="0" applyNumberFormat="1" applyFont="1" applyFill="1" applyBorder="1" applyAlignment="1" applyProtection="1">
      <alignment horizontal="center" vertical="center" shrinkToFit="1"/>
      <protection locked="0"/>
    </xf>
    <xf numFmtId="0" fontId="9" fillId="3" borderId="118" xfId="0" applyFont="1" applyFill="1" applyBorder="1" applyAlignment="1" applyProtection="1">
      <alignment horizontal="center" vertical="center" shrinkToFit="1"/>
      <protection locked="0"/>
    </xf>
    <xf numFmtId="0" fontId="9" fillId="3" borderId="127" xfId="0" applyFont="1" applyFill="1" applyBorder="1" applyAlignment="1" applyProtection="1">
      <alignment horizontal="center" vertical="center" shrinkToFit="1"/>
      <protection locked="0"/>
    </xf>
    <xf numFmtId="0" fontId="10" fillId="0" borderId="106" xfId="0" applyFont="1" applyBorder="1" applyAlignment="1">
      <alignment horizontal="center" vertical="center"/>
    </xf>
    <xf numFmtId="0" fontId="10" fillId="0" borderId="71"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9" fillId="3" borderId="124" xfId="0" applyNumberFormat="1" applyFont="1" applyFill="1" applyBorder="1" applyAlignment="1" applyProtection="1">
      <alignment horizontal="center" vertical="center" shrinkToFit="1"/>
      <protection locked="0"/>
    </xf>
    <xf numFmtId="49" fontId="9" fillId="3" borderId="113" xfId="0" applyNumberFormat="1"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0" fontId="9" fillId="3" borderId="125" xfId="0" applyFont="1" applyFill="1" applyBorder="1" applyAlignment="1" applyProtection="1">
      <alignment horizontal="center" vertical="center" shrinkToFit="1"/>
      <protection locked="0"/>
    </xf>
    <xf numFmtId="49" fontId="20" fillId="0" borderId="108" xfId="0" applyNumberFormat="1" applyFont="1" applyBorder="1" applyAlignment="1">
      <alignment horizontal="center" vertical="center"/>
    </xf>
    <xf numFmtId="49" fontId="20" fillId="0" borderId="82" xfId="0" applyNumberFormat="1" applyFont="1" applyBorder="1" applyAlignment="1">
      <alignment horizontal="center" vertical="center"/>
    </xf>
    <xf numFmtId="49" fontId="20" fillId="0" borderId="68" xfId="0" applyNumberFormat="1" applyFont="1" applyBorder="1" applyAlignment="1">
      <alignment horizontal="center" vertical="center"/>
    </xf>
    <xf numFmtId="49" fontId="20" fillId="0" borderId="109" xfId="0" applyNumberFormat="1" applyFont="1" applyBorder="1" applyAlignment="1">
      <alignment horizontal="center" vertical="center"/>
    </xf>
    <xf numFmtId="49" fontId="20" fillId="0" borderId="49" xfId="0" applyNumberFormat="1" applyFont="1" applyBorder="1" applyAlignment="1">
      <alignment horizontal="center" vertical="center"/>
    </xf>
    <xf numFmtId="0" fontId="9" fillId="3" borderId="109" xfId="0" applyFont="1" applyFill="1" applyBorder="1" applyAlignment="1" applyProtection="1">
      <alignment horizontal="center" vertical="center" shrinkToFit="1"/>
      <protection locked="0"/>
    </xf>
    <xf numFmtId="179" fontId="9" fillId="3" borderId="68" xfId="0" applyNumberFormat="1" applyFont="1" applyFill="1" applyBorder="1" applyAlignment="1">
      <alignment horizontal="center" vertical="center" shrinkToFit="1"/>
    </xf>
    <xf numFmtId="179" fontId="9" fillId="3" borderId="109" xfId="0" applyNumberFormat="1" applyFont="1" applyFill="1" applyBorder="1" applyAlignment="1">
      <alignment horizontal="center" vertical="center" shrinkToFit="1"/>
    </xf>
    <xf numFmtId="179" fontId="9" fillId="3" borderId="49" xfId="0" applyNumberFormat="1" applyFont="1" applyFill="1" applyBorder="1" applyAlignment="1">
      <alignment horizontal="center" vertical="center" shrinkToFit="1"/>
    </xf>
    <xf numFmtId="178" fontId="5" fillId="0" borderId="109"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59" xfId="0" applyNumberFormat="1" applyFont="1" applyBorder="1" applyAlignment="1">
      <alignment horizontal="center" vertical="center"/>
    </xf>
    <xf numFmtId="49" fontId="20" fillId="0" borderId="65" xfId="0" applyNumberFormat="1" applyFont="1" applyBorder="1" applyAlignment="1">
      <alignment horizontal="center" vertical="center"/>
    </xf>
    <xf numFmtId="49" fontId="20" fillId="0" borderId="6" xfId="0" applyNumberFormat="1" applyFont="1" applyBorder="1" applyAlignment="1">
      <alignment horizontal="center" vertical="center"/>
    </xf>
    <xf numFmtId="0" fontId="9" fillId="3" borderId="62" xfId="0" applyFont="1" applyFill="1" applyBorder="1" applyAlignment="1" applyProtection="1">
      <alignment horizontal="center" vertical="center" shrinkToFit="1"/>
      <protection locked="0"/>
    </xf>
    <xf numFmtId="179" fontId="9" fillId="3" borderId="42" xfId="0" applyNumberFormat="1" applyFont="1" applyFill="1" applyBorder="1" applyAlignment="1">
      <alignment horizontal="center" vertical="center" shrinkToFit="1"/>
    </xf>
    <xf numFmtId="179" fontId="9" fillId="3" borderId="62" xfId="0" applyNumberFormat="1" applyFont="1" applyFill="1" applyBorder="1" applyAlignment="1">
      <alignment horizontal="center" vertical="center" shrinkToFit="1"/>
    </xf>
    <xf numFmtId="179" fontId="9" fillId="3" borderId="50" xfId="0" applyNumberFormat="1" applyFont="1" applyFill="1" applyBorder="1" applyAlignment="1">
      <alignment horizontal="center" vertical="center" shrinkToFit="1"/>
    </xf>
    <xf numFmtId="178" fontId="5" fillId="0" borderId="62" xfId="0" applyNumberFormat="1" applyFont="1" applyBorder="1" applyAlignment="1">
      <alignment horizontal="center" vertical="center"/>
    </xf>
    <xf numFmtId="178" fontId="5" fillId="0" borderId="112" xfId="0" applyNumberFormat="1" applyFont="1" applyBorder="1" applyAlignment="1">
      <alignment horizontal="center" vertical="center"/>
    </xf>
    <xf numFmtId="49" fontId="20" fillId="0" borderId="48" xfId="0" applyNumberFormat="1" applyFont="1" applyBorder="1" applyAlignment="1">
      <alignment horizontal="center" vertical="center"/>
    </xf>
    <xf numFmtId="49" fontId="20" fillId="0" borderId="128" xfId="0" applyNumberFormat="1" applyFont="1" applyBorder="1" applyAlignment="1">
      <alignment horizontal="center" vertical="center"/>
    </xf>
    <xf numFmtId="49" fontId="20" fillId="0" borderId="64" xfId="0" applyNumberFormat="1" applyFont="1" applyBorder="1" applyAlignment="1">
      <alignment horizontal="center" vertical="center"/>
    </xf>
    <xf numFmtId="179" fontId="9" fillId="3" borderId="64" xfId="0" applyNumberFormat="1" applyFont="1" applyFill="1" applyBorder="1" applyAlignment="1">
      <alignment horizontal="center" vertical="center" shrinkToFit="1"/>
    </xf>
    <xf numFmtId="49" fontId="20" fillId="0" borderId="29" xfId="0" applyNumberFormat="1" applyFont="1" applyBorder="1" applyAlignment="1">
      <alignment horizontal="center" vertical="center"/>
    </xf>
    <xf numFmtId="49" fontId="20" fillId="0" borderId="67"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20" fillId="0" borderId="0" xfId="0" applyNumberFormat="1" applyFont="1" applyAlignment="1">
      <alignment horizontal="center" vertical="center"/>
    </xf>
    <xf numFmtId="0" fontId="9" fillId="3" borderId="3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shrinkToFit="1"/>
      <protection locked="0"/>
    </xf>
    <xf numFmtId="179" fontId="9" fillId="3" borderId="38" xfId="0" applyNumberFormat="1" applyFont="1" applyFill="1" applyBorder="1" applyAlignment="1">
      <alignment horizontal="center" vertical="center" shrinkToFit="1"/>
    </xf>
    <xf numFmtId="179" fontId="9" fillId="3" borderId="3" xfId="0" applyNumberFormat="1" applyFont="1" applyFill="1" applyBorder="1" applyAlignment="1">
      <alignment horizontal="center" vertical="center" shrinkToFit="1"/>
    </xf>
    <xf numFmtId="179" fontId="9" fillId="3" borderId="60" xfId="0" applyNumberFormat="1" applyFont="1" applyFill="1" applyBorder="1" applyAlignment="1">
      <alignment horizontal="center" vertical="center" shrinkToFit="1"/>
    </xf>
    <xf numFmtId="178" fontId="5" fillId="0" borderId="38"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30" xfId="0" applyNumberFormat="1" applyFont="1" applyBorder="1" applyAlignment="1">
      <alignment horizontal="center" vertical="center"/>
    </xf>
    <xf numFmtId="0" fontId="9" fillId="0" borderId="61" xfId="0" applyFont="1" applyBorder="1" applyAlignment="1">
      <alignment horizontal="center" vertical="center" shrinkToFit="1"/>
    </xf>
    <xf numFmtId="0" fontId="9" fillId="0" borderId="71" xfId="0" applyFont="1" applyBorder="1" applyAlignment="1">
      <alignment horizontal="center" vertical="center" shrinkToFit="1"/>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13" xfId="0" applyFont="1" applyBorder="1" applyAlignment="1">
      <alignment horizontal="center" vertical="center" wrapText="1"/>
    </xf>
    <xf numFmtId="0" fontId="28" fillId="0" borderId="0" xfId="6" applyFont="1" applyAlignment="1">
      <alignment horizontal="center" vertical="center"/>
    </xf>
    <xf numFmtId="49" fontId="9" fillId="3" borderId="62" xfId="0" applyNumberFormat="1" applyFont="1" applyFill="1" applyBorder="1" applyAlignment="1" applyProtection="1">
      <alignment horizontal="center" vertical="center" shrinkToFit="1"/>
      <protection locked="0"/>
    </xf>
    <xf numFmtId="49" fontId="9" fillId="3" borderId="109" xfId="0" applyNumberFormat="1" applyFont="1" applyFill="1" applyBorder="1" applyAlignment="1" applyProtection="1">
      <alignment horizontal="center" vertical="center" shrinkToFit="1"/>
      <protection locked="0"/>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49" fontId="9" fillId="3" borderId="63"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179" fontId="9" fillId="3" borderId="45" xfId="0" applyNumberFormat="1" applyFont="1" applyFill="1" applyBorder="1" applyAlignment="1">
      <alignment horizontal="center" vertical="center" shrinkToFit="1"/>
    </xf>
    <xf numFmtId="179" fontId="9" fillId="3" borderId="63" xfId="0" applyNumberFormat="1" applyFont="1" applyFill="1" applyBorder="1" applyAlignment="1">
      <alignment horizontal="center" vertical="center" shrinkToFit="1"/>
    </xf>
    <xf numFmtId="179" fontId="9" fillId="3" borderId="47" xfId="0" applyNumberFormat="1" applyFont="1" applyFill="1" applyBorder="1" applyAlignment="1">
      <alignment horizontal="center" vertical="center" shrinkToFit="1"/>
    </xf>
    <xf numFmtId="0" fontId="9" fillId="3" borderId="33" xfId="5" applyFont="1" applyFill="1" applyBorder="1" applyAlignment="1" applyProtection="1">
      <alignment horizontal="center" vertical="center" shrinkToFit="1"/>
      <protection locked="0" hidden="1"/>
    </xf>
    <xf numFmtId="0" fontId="9" fillId="0" borderId="45" xfId="5" applyFont="1" applyBorder="1" applyAlignment="1" applyProtection="1">
      <alignment horizontal="center" vertical="center"/>
      <protection hidden="1"/>
    </xf>
    <xf numFmtId="0" fontId="9" fillId="0" borderId="47" xfId="5" applyFont="1" applyBorder="1" applyAlignment="1" applyProtection="1">
      <alignment horizontal="center" vertical="center"/>
      <protection hidden="1"/>
    </xf>
    <xf numFmtId="178" fontId="37" fillId="6" borderId="113" xfId="5" applyNumberFormat="1" applyFont="1" applyFill="1" applyBorder="1" applyAlignment="1" applyProtection="1">
      <alignment horizontal="center" vertical="center"/>
      <protection hidden="1"/>
    </xf>
    <xf numFmtId="178" fontId="37" fillId="6" borderId="125" xfId="5" applyNumberFormat="1" applyFont="1" applyFill="1" applyBorder="1" applyAlignment="1" applyProtection="1">
      <alignment horizontal="center" vertical="center"/>
      <protection hidden="1"/>
    </xf>
    <xf numFmtId="178" fontId="37" fillId="6" borderId="64" xfId="5" applyNumberFormat="1" applyFont="1" applyFill="1" applyBorder="1" applyAlignment="1" applyProtection="1">
      <alignment horizontal="center" vertical="center"/>
      <protection hidden="1"/>
    </xf>
    <xf numFmtId="178" fontId="37" fillId="6" borderId="69" xfId="5" applyNumberFormat="1" applyFont="1" applyFill="1" applyBorder="1" applyAlignment="1" applyProtection="1">
      <alignment horizontal="center" vertical="center"/>
      <protection hidden="1"/>
    </xf>
    <xf numFmtId="0" fontId="9" fillId="3" borderId="44" xfId="5" applyFont="1" applyFill="1" applyBorder="1" applyAlignment="1" applyProtection="1">
      <alignment horizontal="center" vertical="center"/>
      <protection locked="0" hidden="1"/>
    </xf>
    <xf numFmtId="0" fontId="10" fillId="3" borderId="47" xfId="5" applyFont="1" applyFill="1" applyBorder="1" applyAlignment="1" applyProtection="1">
      <alignment horizontal="center" vertical="center"/>
      <protection locked="0" hidden="1"/>
    </xf>
    <xf numFmtId="0" fontId="9" fillId="3" borderId="33"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shrinkToFit="1"/>
      <protection locked="0" hidden="1"/>
    </xf>
    <xf numFmtId="0" fontId="9" fillId="0" borderId="68" xfId="5" applyFont="1" applyBorder="1" applyAlignment="1" applyProtection="1">
      <alignment horizontal="center" vertical="center"/>
      <protection hidden="1"/>
    </xf>
    <xf numFmtId="0" fontId="9" fillId="0" borderId="49" xfId="5" applyFont="1" applyBorder="1" applyAlignment="1" applyProtection="1">
      <alignment horizontal="center" vertical="center"/>
      <protection hidden="1"/>
    </xf>
    <xf numFmtId="0" fontId="9" fillId="3" borderId="48" xfId="5" applyFont="1" applyFill="1" applyBorder="1" applyAlignment="1" applyProtection="1">
      <alignment horizontal="center" vertical="center"/>
      <protection locked="0" hidden="1"/>
    </xf>
    <xf numFmtId="0" fontId="10" fillId="3" borderId="49"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protection locked="0" hidden="1"/>
    </xf>
    <xf numFmtId="178" fontId="37" fillId="6" borderId="39" xfId="5" applyNumberFormat="1" applyFont="1" applyFill="1" applyBorder="1" applyAlignment="1" applyProtection="1">
      <alignment horizontal="center" vertical="center"/>
      <protection hidden="1"/>
    </xf>
    <xf numFmtId="178" fontId="37" fillId="6" borderId="70" xfId="5" applyNumberFormat="1" applyFont="1" applyFill="1" applyBorder="1" applyAlignment="1" applyProtection="1">
      <alignment horizontal="center" vertical="center"/>
      <protection hidden="1"/>
    </xf>
    <xf numFmtId="0" fontId="9" fillId="3" borderId="32" xfId="5" applyFont="1" applyFill="1" applyBorder="1" applyAlignment="1" applyProtection="1">
      <alignment horizontal="center" vertical="center" shrinkToFit="1"/>
      <protection locked="0" hidden="1"/>
    </xf>
    <xf numFmtId="0" fontId="9" fillId="0" borderId="32" xfId="5" applyFont="1" applyBorder="1" applyAlignment="1" applyProtection="1">
      <alignment horizontal="center" vertical="center"/>
      <protection hidden="1"/>
    </xf>
    <xf numFmtId="0" fontId="9" fillId="3" borderId="41" xfId="5" applyFont="1" applyFill="1" applyBorder="1" applyAlignment="1" applyProtection="1">
      <alignment horizontal="center" vertical="center"/>
      <protection locked="0" hidden="1"/>
    </xf>
    <xf numFmtId="0" fontId="10" fillId="3" borderId="50" xfId="5" applyFont="1" applyFill="1" applyBorder="1" applyAlignment="1" applyProtection="1">
      <alignment horizontal="center" vertical="center"/>
      <protection locked="0" hidden="1"/>
    </xf>
    <xf numFmtId="0" fontId="9" fillId="3" borderId="32" xfId="5" applyFont="1" applyFill="1" applyBorder="1" applyAlignment="1" applyProtection="1">
      <alignment horizontal="center" vertical="center"/>
      <protection locked="0" hidden="1"/>
    </xf>
    <xf numFmtId="0" fontId="5" fillId="0" borderId="34" xfId="5" applyFont="1" applyBorder="1" applyAlignment="1">
      <alignment horizontal="center" vertical="center" wrapText="1"/>
    </xf>
    <xf numFmtId="0" fontId="5" fillId="0" borderId="34" xfId="5" applyFont="1" applyBorder="1" applyAlignment="1">
      <alignment horizontal="center" vertical="center"/>
    </xf>
    <xf numFmtId="0" fontId="5" fillId="0" borderId="20" xfId="5" applyFont="1" applyBorder="1" applyAlignment="1">
      <alignment horizontal="center" vertical="center"/>
    </xf>
    <xf numFmtId="0" fontId="5" fillId="0" borderId="36" xfId="5" applyFont="1" applyBorder="1" applyAlignment="1">
      <alignment horizontal="center" vertical="center"/>
    </xf>
    <xf numFmtId="0" fontId="5" fillId="0" borderId="22" xfId="5" applyFont="1" applyBorder="1" applyAlignment="1">
      <alignment horizontal="center" vertical="center"/>
    </xf>
    <xf numFmtId="0" fontId="5" fillId="0" borderId="40" xfId="5" applyFont="1" applyBorder="1" applyAlignment="1">
      <alignment horizontal="center" vertical="center"/>
    </xf>
    <xf numFmtId="0" fontId="33" fillId="0" borderId="0" xfId="5" applyFont="1" applyAlignment="1">
      <alignment horizontal="center" vertical="center"/>
    </xf>
    <xf numFmtId="0" fontId="34" fillId="0" borderId="0" xfId="5" applyFont="1" applyAlignment="1">
      <alignment horizontal="left" vertical="center" wrapText="1"/>
    </xf>
    <xf numFmtId="0" fontId="36" fillId="0" borderId="0" xfId="5" applyFont="1" applyAlignment="1">
      <alignment horizontal="left" vertical="center" wrapText="1"/>
    </xf>
    <xf numFmtId="0" fontId="5" fillId="0" borderId="91" xfId="5" applyFont="1" applyBorder="1" applyAlignment="1">
      <alignment horizontal="center" vertical="center"/>
    </xf>
    <xf numFmtId="0" fontId="5" fillId="0" borderId="93" xfId="5" applyFont="1" applyBorder="1" applyAlignment="1">
      <alignment horizontal="center" vertical="center"/>
    </xf>
    <xf numFmtId="0" fontId="5" fillId="0" borderId="20" xfId="5" applyFont="1" applyBorder="1" applyAlignment="1">
      <alignment horizontal="center" vertical="center" wrapText="1"/>
    </xf>
    <xf numFmtId="0" fontId="5" fillId="0" borderId="118" xfId="0" applyFont="1" applyBorder="1" applyAlignment="1">
      <alignment horizontal="center" vertical="center" wrapText="1"/>
    </xf>
    <xf numFmtId="14" fontId="5" fillId="0" borderId="11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14" fontId="5" fillId="0" borderId="21" xfId="0" applyNumberFormat="1" applyFont="1" applyBorder="1" applyAlignment="1">
      <alignment horizontal="center" vertical="center" wrapText="1"/>
    </xf>
  </cellXfs>
  <cellStyles count="8">
    <cellStyle name="桁区切り" xfId="1" builtinId="6"/>
    <cellStyle name="標準" xfId="0" builtinId="0"/>
    <cellStyle name="標準 14" xfId="3" xr:uid="{787BE6B2-4206-4FD5-AC35-DAAE84A45C3D}"/>
    <cellStyle name="標準 14 2" xfId="6" xr:uid="{5AA52AED-1830-4F2B-BDFB-3B6FD4B98608}"/>
    <cellStyle name="標準 2" xfId="2" xr:uid="{00000000-0005-0000-0000-000002000000}"/>
    <cellStyle name="標準 2 2" xfId="5" xr:uid="{F67CBB3D-7E15-49C5-A904-C7368715C7DC}"/>
    <cellStyle name="標準 3" xfId="4" xr:uid="{9E22FE55-09DD-46EC-80C2-6160DB7BC587}"/>
    <cellStyle name="標準 3 2" xfId="7" xr:uid="{DF2FE351-44FD-4A25-BCF7-DE1A1836F41A}"/>
  </cellStyles>
  <dxfs count="184">
    <dxf>
      <fill>
        <patternFill>
          <bgColor theme="9"/>
        </patternFill>
      </fill>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auto="1"/>
      </font>
    </dxf>
  </dxfs>
  <tableStyles count="0" defaultTableStyle="TableStyleMedium9" defaultPivotStyle="PivotStyleLight16"/>
  <colors>
    <mruColors>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G$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AG$8" lockText="1" noThreeD="1"/>
</file>

<file path=xl/ctrlProps/ctrlProp6.xml><?xml version="1.0" encoding="utf-8"?>
<formControlPr xmlns="http://schemas.microsoft.com/office/spreadsheetml/2009/9/main" objectType="CheckBox" fmlaLink="$AG$9" lockText="1" noThreeD="1"/>
</file>

<file path=xl/ctrlProps/ctrlProp7.xml><?xml version="1.0" encoding="utf-8"?>
<formControlPr xmlns="http://schemas.microsoft.com/office/spreadsheetml/2009/9/main" objectType="CheckBox" fmlaLink="$AG$15" lockText="1" noThreeD="1"/>
</file>

<file path=xl/ctrlProps/ctrlProp8.xml><?xml version="1.0" encoding="utf-8"?>
<formControlPr xmlns="http://schemas.microsoft.com/office/spreadsheetml/2009/9/main" objectType="CheckBox" fmlaLink="$AG$16" lockText="1" noThreeD="1"/>
</file>

<file path=xl/ctrlProps/ctrlProp9.xml><?xml version="1.0" encoding="utf-8"?>
<formControlPr xmlns="http://schemas.microsoft.com/office/spreadsheetml/2009/9/main" objectType="CheckBox" fmlaLink="$AG$17" lockText="1" noThreeD="1"/>
</file>

<file path=xl/ctrlProps/ctrlProp10.xml><?xml version="1.0" encoding="utf-8"?>
<formControlPr xmlns="http://schemas.microsoft.com/office/spreadsheetml/2009/9/main" objectType="CheckBox" fmlaLink="$AG$18" lockText="1" noThreeD="1"/>
</file>

<file path=xl/ctrlProps/ctrlProp11.xml><?xml version="1.0" encoding="utf-8"?>
<formControlPr xmlns="http://schemas.microsoft.com/office/spreadsheetml/2009/9/main" objectType="CheckBox" fmlaLink="$AG$19" lockText="1" noThreeD="1"/>
</file>

<file path=xl/ctrlProps/ctrlProp12.xml><?xml version="1.0" encoding="utf-8"?>
<formControlPr xmlns="http://schemas.microsoft.com/office/spreadsheetml/2009/9/main" objectType="CheckBox" fmlaLink="$AG$10" lockText="1" noThreeD="1"/>
</file>

<file path=xl/ctrlProps/ctrlProp13.xml><?xml version="1.0" encoding="utf-8"?>
<formControlPr xmlns="http://schemas.microsoft.com/office/spreadsheetml/2009/9/main" objectType="CheckBox" fmlaLink="$AG$11" lockText="1" noThreeD="1"/>
</file>

<file path=xl/ctrlProps/ctrlProp14.xml><?xml version="1.0" encoding="utf-8"?>
<formControlPr xmlns="http://schemas.microsoft.com/office/spreadsheetml/2009/9/main" objectType="CheckBox" fmlaLink="$AG$14" lockText="1" noThreeD="1"/>
</file>

<file path=xl/ctrlProps/ctrlProp15.xml><?xml version="1.0" encoding="utf-8"?>
<formControlPr xmlns="http://schemas.microsoft.com/office/spreadsheetml/2009/9/main" objectType="CheckBox" fmlaLink="$AG$12" lockText="1" noThreeD="1"/>
</file>

<file path=xl/ctrlProps/ctrlProp16.xml><?xml version="1.0" encoding="utf-8"?>
<formControlPr xmlns="http://schemas.microsoft.com/office/spreadsheetml/2009/9/main" objectType="CheckBox" fmlaLink="$AG$13" lockText="1" noThreeD="1"/>
</file>

<file path=xl/ctrlProps/ctrlProp17.xml><?xml version="1.0" encoding="utf-8"?>
<formControlPr xmlns="http://schemas.microsoft.com/office/spreadsheetml/2009/9/main" objectType="CheckBox" fmlaLink="$AG$8" lockText="1" noThreeD="1"/>
</file>

<file path=xl/ctrlProps/ctrlProp18.xml><?xml version="1.0" encoding="utf-8"?>
<formControlPr xmlns="http://schemas.microsoft.com/office/spreadsheetml/2009/9/main" objectType="CheckBox" fmlaLink="$AG$9" lockText="1" noThreeD="1"/>
</file>

<file path=xl/ctrlProps/ctrlProp19.xml><?xml version="1.0" encoding="utf-8"?>
<formControlPr xmlns="http://schemas.microsoft.com/office/spreadsheetml/2009/9/main" objectType="CheckBox" fmlaLink="$AG$15" lockText="1" noThreeD="1"/>
</file>

<file path=xl/ctrlProps/ctrlProp20.xml><?xml version="1.0" encoding="utf-8"?>
<formControlPr xmlns="http://schemas.microsoft.com/office/spreadsheetml/2009/9/main" objectType="CheckBox" fmlaLink="$AG$16" lockText="1" noThreeD="1"/>
</file>

<file path=xl/ctrlProps/ctrlProp21.xml><?xml version="1.0" encoding="utf-8"?>
<formControlPr xmlns="http://schemas.microsoft.com/office/spreadsheetml/2009/9/main" objectType="CheckBox" fmlaLink="$AG$17" lockText="1" noThreeD="1"/>
</file>

<file path=xl/ctrlProps/ctrlProp22.xml><?xml version="1.0" encoding="utf-8"?>
<formControlPr xmlns="http://schemas.microsoft.com/office/spreadsheetml/2009/9/main" objectType="CheckBox" fmlaLink="$AG$18" lockText="1" noThreeD="1"/>
</file>

<file path=xl/ctrlProps/ctrlProp23.xml><?xml version="1.0" encoding="utf-8"?>
<formControlPr xmlns="http://schemas.microsoft.com/office/spreadsheetml/2009/9/main" objectType="CheckBox" fmlaLink="$AG$19" lockText="1" noThreeD="1"/>
</file>

<file path=xl/ctrlProps/ctrlProp24.xml><?xml version="1.0" encoding="utf-8"?>
<formControlPr xmlns="http://schemas.microsoft.com/office/spreadsheetml/2009/9/main" objectType="CheckBox" fmlaLink="$AG$10" lockText="1" noThreeD="1"/>
</file>

<file path=xl/ctrlProps/ctrlProp25.xml><?xml version="1.0" encoding="utf-8"?>
<formControlPr xmlns="http://schemas.microsoft.com/office/spreadsheetml/2009/9/main" objectType="CheckBox" fmlaLink="$AG$11" lockText="1" noThreeD="1"/>
</file>

<file path=xl/ctrlProps/ctrlProp26.xml><?xml version="1.0" encoding="utf-8"?>
<formControlPr xmlns="http://schemas.microsoft.com/office/spreadsheetml/2009/9/main" objectType="CheckBox" fmlaLink="$AG$14" lockText="1" noThreeD="1"/>
</file>

<file path=xl/ctrlProps/ctrlProp27.xml><?xml version="1.0" encoding="utf-8"?>
<formControlPr xmlns="http://schemas.microsoft.com/office/spreadsheetml/2009/9/main" objectType="CheckBox" fmlaLink="$AG$12" lockText="1" noThreeD="1"/>
</file>

<file path=xl/ctrlProps/ctrlProp28.xml><?xml version="1.0" encoding="utf-8"?>
<formControlPr xmlns="http://schemas.microsoft.com/office/spreadsheetml/2009/9/main" objectType="CheckBox" fmlaLink="$AG$13" lockText="1" noThreeD="1"/>
</file>

<file path=xl/ctrlProps/ctrlProp29.xml><?xml version="1.0" encoding="utf-8"?>
<formControlPr xmlns="http://schemas.microsoft.com/office/spreadsheetml/2009/9/main" objectType="CheckBox" fmlaLink="$AG$8" lockText="1" noThreeD="1"/>
</file>

<file path=xl/ctrlProps/ctrlProp30.xml><?xml version="1.0" encoding="utf-8"?>
<formControlPr xmlns="http://schemas.microsoft.com/office/spreadsheetml/2009/9/main" objectType="CheckBox" fmlaLink="$AG$9" lockText="1" noThreeD="1"/>
</file>

<file path=xl/ctrlProps/ctrlProp31.xml><?xml version="1.0" encoding="utf-8"?>
<formControlPr xmlns="http://schemas.microsoft.com/office/spreadsheetml/2009/9/main" objectType="CheckBox" fmlaLink="$AG$15" lockText="1" noThreeD="1"/>
</file>

<file path=xl/ctrlProps/ctrlProp32.xml><?xml version="1.0" encoding="utf-8"?>
<formControlPr xmlns="http://schemas.microsoft.com/office/spreadsheetml/2009/9/main" objectType="CheckBox" fmlaLink="$AG$16" lockText="1" noThreeD="1"/>
</file>

<file path=xl/ctrlProps/ctrlProp33.xml><?xml version="1.0" encoding="utf-8"?>
<formControlPr xmlns="http://schemas.microsoft.com/office/spreadsheetml/2009/9/main" objectType="CheckBox" fmlaLink="$AG$17" lockText="1" noThreeD="1"/>
</file>

<file path=xl/ctrlProps/ctrlProp34.xml><?xml version="1.0" encoding="utf-8"?>
<formControlPr xmlns="http://schemas.microsoft.com/office/spreadsheetml/2009/9/main" objectType="CheckBox" fmlaLink="$AG$18" lockText="1" noThreeD="1"/>
</file>

<file path=xl/ctrlProps/ctrlProp35.xml><?xml version="1.0" encoding="utf-8"?>
<formControlPr xmlns="http://schemas.microsoft.com/office/spreadsheetml/2009/9/main" objectType="CheckBox" fmlaLink="$AG$19" lockText="1" noThreeD="1"/>
</file>

<file path=xl/ctrlProps/ctrlProp36.xml><?xml version="1.0" encoding="utf-8"?>
<formControlPr xmlns="http://schemas.microsoft.com/office/spreadsheetml/2009/9/main" objectType="CheckBox" fmlaLink="$AG$10" lockText="1" noThreeD="1"/>
</file>

<file path=xl/ctrlProps/ctrlProp37.xml><?xml version="1.0" encoding="utf-8"?>
<formControlPr xmlns="http://schemas.microsoft.com/office/spreadsheetml/2009/9/main" objectType="CheckBox" fmlaLink="$AG$11" lockText="1" noThreeD="1"/>
</file>

<file path=xl/ctrlProps/ctrlProp38.xml><?xml version="1.0" encoding="utf-8"?>
<formControlPr xmlns="http://schemas.microsoft.com/office/spreadsheetml/2009/9/main" objectType="CheckBox" fmlaLink="$AG$14" lockText="1" noThreeD="1"/>
</file>

<file path=xl/ctrlProps/ctrlProp39.xml><?xml version="1.0" encoding="utf-8"?>
<formControlPr xmlns="http://schemas.microsoft.com/office/spreadsheetml/2009/9/main" objectType="CheckBox" fmlaLink="$AG$12" lockText="1" noThreeD="1"/>
</file>

<file path=xl/ctrlProps/ctrlProp40.xml><?xml version="1.0" encoding="utf-8"?>
<formControlPr xmlns="http://schemas.microsoft.com/office/spreadsheetml/2009/9/main" objectType="CheckBox" fmlaLink="$AG$13" lockText="1" noThreeD="1"/>
</file>

<file path=xl/ctrlProps/ctrlProp41.xml><?xml version="1.0" encoding="utf-8"?>
<formControlPr xmlns="http://schemas.microsoft.com/office/spreadsheetml/2009/9/main" objectType="CheckBox" fmlaLink="$AG$8" lockText="1" noThreeD="1"/>
</file>

<file path=xl/ctrlProps/ctrlProp42.xml><?xml version="1.0" encoding="utf-8"?>
<formControlPr xmlns="http://schemas.microsoft.com/office/spreadsheetml/2009/9/main" objectType="CheckBox" fmlaLink="$AG$9" lockText="1" noThreeD="1"/>
</file>

<file path=xl/ctrlProps/ctrlProp43.xml><?xml version="1.0" encoding="utf-8"?>
<formControlPr xmlns="http://schemas.microsoft.com/office/spreadsheetml/2009/9/main" objectType="CheckBox" fmlaLink="$AG$15" lockText="1" noThreeD="1"/>
</file>

<file path=xl/ctrlProps/ctrlProp44.xml><?xml version="1.0" encoding="utf-8"?>
<formControlPr xmlns="http://schemas.microsoft.com/office/spreadsheetml/2009/9/main" objectType="CheckBox" fmlaLink="$AG$16" lockText="1" noThreeD="1"/>
</file>

<file path=xl/ctrlProps/ctrlProp45.xml><?xml version="1.0" encoding="utf-8"?>
<formControlPr xmlns="http://schemas.microsoft.com/office/spreadsheetml/2009/9/main" objectType="CheckBox" fmlaLink="$AG$17" lockText="1" noThreeD="1"/>
</file>

<file path=xl/ctrlProps/ctrlProp46.xml><?xml version="1.0" encoding="utf-8"?>
<formControlPr xmlns="http://schemas.microsoft.com/office/spreadsheetml/2009/9/main" objectType="CheckBox" fmlaLink="$AG$18" lockText="1" noThreeD="1"/>
</file>

<file path=xl/ctrlProps/ctrlProp47.xml><?xml version="1.0" encoding="utf-8"?>
<formControlPr xmlns="http://schemas.microsoft.com/office/spreadsheetml/2009/9/main" objectType="CheckBox" fmlaLink="$AG$19" lockText="1" noThreeD="1"/>
</file>

<file path=xl/ctrlProps/ctrlProp48.xml><?xml version="1.0" encoding="utf-8"?>
<formControlPr xmlns="http://schemas.microsoft.com/office/spreadsheetml/2009/9/main" objectType="CheckBox" fmlaLink="$AG$10" lockText="1" noThreeD="1"/>
</file>

<file path=xl/ctrlProps/ctrlProp49.xml><?xml version="1.0" encoding="utf-8"?>
<formControlPr xmlns="http://schemas.microsoft.com/office/spreadsheetml/2009/9/main" objectType="CheckBox" fmlaLink="$AG$11" lockText="1" noThreeD="1"/>
</file>

<file path=xl/ctrlProps/ctrlProp50.xml><?xml version="1.0" encoding="utf-8"?>
<formControlPr xmlns="http://schemas.microsoft.com/office/spreadsheetml/2009/9/main" objectType="CheckBox" fmlaLink="$AG$14" lockText="1" noThreeD="1"/>
</file>

<file path=xl/ctrlProps/ctrlProp51.xml><?xml version="1.0" encoding="utf-8"?>
<formControlPr xmlns="http://schemas.microsoft.com/office/spreadsheetml/2009/9/main" objectType="CheckBox" fmlaLink="$AG$12" lockText="1" noThreeD="1"/>
</file>

<file path=xl/ctrlProps/ctrlProp52.xml><?xml version="1.0" encoding="utf-8"?>
<formControlPr xmlns="http://schemas.microsoft.com/office/spreadsheetml/2009/9/main" objectType="CheckBox" fmlaLink="$AG$13" lockText="1" noThreeD="1"/>
</file>

<file path=xl/ctrlProps/ctrlProp53.xml><?xml version="1.0" encoding="utf-8"?>
<formControlPr xmlns="http://schemas.microsoft.com/office/spreadsheetml/2009/9/main" objectType="CheckBox" fmlaLink="$AG$8" lockText="1" noThreeD="1"/>
</file>

<file path=xl/ctrlProps/ctrlProp54.xml><?xml version="1.0" encoding="utf-8"?>
<formControlPr xmlns="http://schemas.microsoft.com/office/spreadsheetml/2009/9/main" objectType="CheckBox" fmlaLink="$AG$9" lockText="1" noThreeD="1"/>
</file>

<file path=xl/ctrlProps/ctrlProp55.xml><?xml version="1.0" encoding="utf-8"?>
<formControlPr xmlns="http://schemas.microsoft.com/office/spreadsheetml/2009/9/main" objectType="CheckBox" fmlaLink="$AG$15" lockText="1" noThreeD="1"/>
</file>

<file path=xl/ctrlProps/ctrlProp56.xml><?xml version="1.0" encoding="utf-8"?>
<formControlPr xmlns="http://schemas.microsoft.com/office/spreadsheetml/2009/9/main" objectType="CheckBox" fmlaLink="$AG$16" lockText="1" noThreeD="1"/>
</file>

<file path=xl/ctrlProps/ctrlProp57.xml><?xml version="1.0" encoding="utf-8"?>
<formControlPr xmlns="http://schemas.microsoft.com/office/spreadsheetml/2009/9/main" objectType="CheckBox" fmlaLink="$AG$17" lockText="1" noThreeD="1"/>
</file>

<file path=xl/ctrlProps/ctrlProp58.xml><?xml version="1.0" encoding="utf-8"?>
<formControlPr xmlns="http://schemas.microsoft.com/office/spreadsheetml/2009/9/main" objectType="CheckBox" fmlaLink="$AG$18" lockText="1" noThreeD="1"/>
</file>

<file path=xl/ctrlProps/ctrlProp59.xml><?xml version="1.0" encoding="utf-8"?>
<formControlPr xmlns="http://schemas.microsoft.com/office/spreadsheetml/2009/9/main" objectType="CheckBox" fmlaLink="$AG$19" lockText="1" noThreeD="1"/>
</file>

<file path=xl/ctrlProps/ctrlProp60.xml><?xml version="1.0" encoding="utf-8"?>
<formControlPr xmlns="http://schemas.microsoft.com/office/spreadsheetml/2009/9/main" objectType="CheckBox" fmlaLink="$AG$10" lockText="1" noThreeD="1"/>
</file>

<file path=xl/ctrlProps/ctrlProp61.xml><?xml version="1.0" encoding="utf-8"?>
<formControlPr xmlns="http://schemas.microsoft.com/office/spreadsheetml/2009/9/main" objectType="CheckBox" fmlaLink="$AG$11" lockText="1" noThreeD="1"/>
</file>

<file path=xl/ctrlProps/ctrlProp62.xml><?xml version="1.0" encoding="utf-8"?>
<formControlPr xmlns="http://schemas.microsoft.com/office/spreadsheetml/2009/9/main" objectType="CheckBox" fmlaLink="$AG$14" lockText="1" noThreeD="1"/>
</file>

<file path=xl/ctrlProps/ctrlProp63.xml><?xml version="1.0" encoding="utf-8"?>
<formControlPr xmlns="http://schemas.microsoft.com/office/spreadsheetml/2009/9/main" objectType="CheckBox" fmlaLink="$AG$12" lockText="1" noThreeD="1"/>
</file>

<file path=xl/ctrlProps/ctrlProp64.xml><?xml version="1.0" encoding="utf-8"?>
<formControlPr xmlns="http://schemas.microsoft.com/office/spreadsheetml/2009/9/main" objectType="CheckBox" fmlaLink="$AG$13" lockText="1" noThreeD="1"/>
</file>

<file path=xl/ctrlProps/ctrlProp65.xml><?xml version="1.0" encoding="utf-8"?>
<formControlPr xmlns="http://schemas.microsoft.com/office/spreadsheetml/2009/9/main" objectType="CheckBox" fmlaLink="$AG$8" lockText="1" noThreeD="1"/>
</file>

<file path=xl/ctrlProps/ctrlProp66.xml><?xml version="1.0" encoding="utf-8"?>
<formControlPr xmlns="http://schemas.microsoft.com/office/spreadsheetml/2009/9/main" objectType="CheckBox" fmlaLink="$AG$9" lockText="1" noThreeD="1"/>
</file>

<file path=xl/ctrlProps/ctrlProp67.xml><?xml version="1.0" encoding="utf-8"?>
<formControlPr xmlns="http://schemas.microsoft.com/office/spreadsheetml/2009/9/main" objectType="CheckBox" fmlaLink="$AG$15" lockText="1" noThreeD="1"/>
</file>

<file path=xl/ctrlProps/ctrlProp68.xml><?xml version="1.0" encoding="utf-8"?>
<formControlPr xmlns="http://schemas.microsoft.com/office/spreadsheetml/2009/9/main" objectType="CheckBox" fmlaLink="$AG$16" lockText="1" noThreeD="1"/>
</file>

<file path=xl/ctrlProps/ctrlProp69.xml><?xml version="1.0" encoding="utf-8"?>
<formControlPr xmlns="http://schemas.microsoft.com/office/spreadsheetml/2009/9/main" objectType="CheckBox" fmlaLink="$AG$17" lockText="1" noThreeD="1"/>
</file>

<file path=xl/ctrlProps/ctrlProp70.xml><?xml version="1.0" encoding="utf-8"?>
<formControlPr xmlns="http://schemas.microsoft.com/office/spreadsheetml/2009/9/main" objectType="CheckBox" fmlaLink="$AG$18" lockText="1" noThreeD="1"/>
</file>

<file path=xl/ctrlProps/ctrlProp71.xml><?xml version="1.0" encoding="utf-8"?>
<formControlPr xmlns="http://schemas.microsoft.com/office/spreadsheetml/2009/9/main" objectType="CheckBox" fmlaLink="$AG$19" lockText="1" noThreeD="1"/>
</file>

<file path=xl/ctrlProps/ctrlProp72.xml><?xml version="1.0" encoding="utf-8"?>
<formControlPr xmlns="http://schemas.microsoft.com/office/spreadsheetml/2009/9/main" objectType="CheckBox" fmlaLink="$AG$10" lockText="1" noThreeD="1"/>
</file>

<file path=xl/ctrlProps/ctrlProp73.xml><?xml version="1.0" encoding="utf-8"?>
<formControlPr xmlns="http://schemas.microsoft.com/office/spreadsheetml/2009/9/main" objectType="CheckBox" fmlaLink="$AG$11" lockText="1" noThreeD="1"/>
</file>

<file path=xl/ctrlProps/ctrlProp74.xml><?xml version="1.0" encoding="utf-8"?>
<formControlPr xmlns="http://schemas.microsoft.com/office/spreadsheetml/2009/9/main" objectType="CheckBox" fmlaLink="$AG$14" lockText="1" noThreeD="1"/>
</file>

<file path=xl/ctrlProps/ctrlProp75.xml><?xml version="1.0" encoding="utf-8"?>
<formControlPr xmlns="http://schemas.microsoft.com/office/spreadsheetml/2009/9/main" objectType="CheckBox" fmlaLink="$AG$12" lockText="1" noThreeD="1"/>
</file>

<file path=xl/ctrlProps/ctrlProp76.xml><?xml version="1.0" encoding="utf-8"?>
<formControlPr xmlns="http://schemas.microsoft.com/office/spreadsheetml/2009/9/main" objectType="CheckBox" fmlaLink="$AG$13" lockText="1" noThreeD="1"/>
</file>

<file path=xl/ctrlProps/ctrlProp77.xml><?xml version="1.0" encoding="utf-8"?>
<formControlPr xmlns="http://schemas.microsoft.com/office/spreadsheetml/2009/9/main" objectType="CheckBox" fmlaLink="$AG$8" lockText="1" noThreeD="1"/>
</file>

<file path=xl/ctrlProps/ctrlProp78.xml><?xml version="1.0" encoding="utf-8"?>
<formControlPr xmlns="http://schemas.microsoft.com/office/spreadsheetml/2009/9/main" objectType="CheckBox" fmlaLink="$AG$9" lockText="1" noThreeD="1"/>
</file>

<file path=xl/ctrlProps/ctrlProp79.xml><?xml version="1.0" encoding="utf-8"?>
<formControlPr xmlns="http://schemas.microsoft.com/office/spreadsheetml/2009/9/main" objectType="CheckBox" fmlaLink="$AG$15" lockText="1" noThreeD="1"/>
</file>

<file path=xl/ctrlProps/ctrlProp80.xml><?xml version="1.0" encoding="utf-8"?>
<formControlPr xmlns="http://schemas.microsoft.com/office/spreadsheetml/2009/9/main" objectType="CheckBox" fmlaLink="$AG$16" lockText="1" noThreeD="1"/>
</file>

<file path=xl/ctrlProps/ctrlProp81.xml><?xml version="1.0" encoding="utf-8"?>
<formControlPr xmlns="http://schemas.microsoft.com/office/spreadsheetml/2009/9/main" objectType="CheckBox" fmlaLink="$AG$17" lockText="1" noThreeD="1"/>
</file>

<file path=xl/ctrlProps/ctrlProp82.xml><?xml version="1.0" encoding="utf-8"?>
<formControlPr xmlns="http://schemas.microsoft.com/office/spreadsheetml/2009/9/main" objectType="CheckBox" fmlaLink="$AG$18" lockText="1" noThreeD="1"/>
</file>

<file path=xl/ctrlProps/ctrlProp83.xml><?xml version="1.0" encoding="utf-8"?>
<formControlPr xmlns="http://schemas.microsoft.com/office/spreadsheetml/2009/9/main" objectType="CheckBox" fmlaLink="$AG$19" lockText="1" noThreeD="1"/>
</file>

<file path=xl/ctrlProps/ctrlProp84.xml><?xml version="1.0" encoding="utf-8"?>
<formControlPr xmlns="http://schemas.microsoft.com/office/spreadsheetml/2009/9/main" objectType="CheckBox" fmlaLink="$AG$10" lockText="1" noThreeD="1"/>
</file>

<file path=xl/ctrlProps/ctrlProp85.xml><?xml version="1.0" encoding="utf-8"?>
<formControlPr xmlns="http://schemas.microsoft.com/office/spreadsheetml/2009/9/main" objectType="CheckBox" fmlaLink="$AG$11" lockText="1" noThreeD="1"/>
</file>

<file path=xl/ctrlProps/ctrlProp86.xml><?xml version="1.0" encoding="utf-8"?>
<formControlPr xmlns="http://schemas.microsoft.com/office/spreadsheetml/2009/9/main" objectType="CheckBox" fmlaLink="$AG$14" lockText="1" noThreeD="1"/>
</file>

<file path=xl/ctrlProps/ctrlProp87.xml><?xml version="1.0" encoding="utf-8"?>
<formControlPr xmlns="http://schemas.microsoft.com/office/spreadsheetml/2009/9/main" objectType="CheckBox" fmlaLink="$AG$12" lockText="1" noThreeD="1"/>
</file>

<file path=xl/ctrlProps/ctrlProp88.xml><?xml version="1.0" encoding="utf-8"?>
<formControlPr xmlns="http://schemas.microsoft.com/office/spreadsheetml/2009/9/main" objectType="CheckBox" fmlaLink="$AG$13" lockText="1" noThreeD="1"/>
</file>

<file path=xl/ctrlProps/ctrlProp89.xml><?xml version="1.0" encoding="utf-8"?>
<formControlPr xmlns="http://schemas.microsoft.com/office/spreadsheetml/2009/9/main" objectType="CheckBox" fmlaLink="$AG$8" lockText="1" noThreeD="1"/>
</file>

<file path=xl/ctrlProps/ctrlProp90.xml><?xml version="1.0" encoding="utf-8"?>
<formControlPr xmlns="http://schemas.microsoft.com/office/spreadsheetml/2009/9/main" objectType="CheckBox" fmlaLink="$AG$9" lockText="1" noThreeD="1"/>
</file>

<file path=xl/ctrlProps/ctrlProp91.xml><?xml version="1.0" encoding="utf-8"?>
<formControlPr xmlns="http://schemas.microsoft.com/office/spreadsheetml/2009/9/main" objectType="CheckBox" fmlaLink="$AG$15" lockText="1" noThreeD="1"/>
</file>

<file path=xl/ctrlProps/ctrlProp92.xml><?xml version="1.0" encoding="utf-8"?>
<formControlPr xmlns="http://schemas.microsoft.com/office/spreadsheetml/2009/9/main" objectType="CheckBox" fmlaLink="$AG$16" lockText="1" noThreeD="1"/>
</file>

<file path=xl/ctrlProps/ctrlProp93.xml><?xml version="1.0" encoding="utf-8"?>
<formControlPr xmlns="http://schemas.microsoft.com/office/spreadsheetml/2009/9/main" objectType="CheckBox" fmlaLink="$AG$17" lockText="1" noThreeD="1"/>
</file>

<file path=xl/ctrlProps/ctrlProp94.xml><?xml version="1.0" encoding="utf-8"?>
<formControlPr xmlns="http://schemas.microsoft.com/office/spreadsheetml/2009/9/main" objectType="CheckBox" fmlaLink="$AG$18" lockText="1" noThreeD="1"/>
</file>

<file path=xl/ctrlProps/ctrlProp95.xml><?xml version="1.0" encoding="utf-8"?>
<formControlPr xmlns="http://schemas.microsoft.com/office/spreadsheetml/2009/9/main" objectType="CheckBox" fmlaLink="$AG$19" lockText="1" noThreeD="1"/>
</file>

<file path=xl/ctrlProps/ctrlProp96.xml><?xml version="1.0" encoding="utf-8"?>
<formControlPr xmlns="http://schemas.microsoft.com/office/spreadsheetml/2009/9/main" objectType="CheckBox" fmlaLink="$AG$10" lockText="1" noThreeD="1"/>
</file>

<file path=xl/ctrlProps/ctrlProp97.xml><?xml version="1.0" encoding="utf-8"?>
<formControlPr xmlns="http://schemas.microsoft.com/office/spreadsheetml/2009/9/main" objectType="CheckBox" fmlaLink="$AG$11" lockText="1" noThreeD="1"/>
</file>

<file path=xl/ctrlProps/ctrlProp98.xml><?xml version="1.0" encoding="utf-8"?>
<formControlPr xmlns="http://schemas.microsoft.com/office/spreadsheetml/2009/9/main" objectType="CheckBox" fmlaLink="$AG$14" lockText="1" noThreeD="1"/>
</file>

<file path=xl/ctrlProps/ctrlProp99.xml><?xml version="1.0" encoding="utf-8"?>
<formControlPr xmlns="http://schemas.microsoft.com/office/spreadsheetml/2009/9/main" objectType="CheckBox" fmlaLink="$AG$12" lockText="1" noThreeD="1"/>
</file>

<file path=xl/ctrlProps/ctrlProp100.xml><?xml version="1.0" encoding="utf-8"?>
<formControlPr xmlns="http://schemas.microsoft.com/office/spreadsheetml/2009/9/main" objectType="CheckBox" fmlaLink="$AG$13" lockText="1" noThreeD="1"/>
</file>

<file path=xl/ctrlProps/ctrlProp101.xml><?xml version="1.0" encoding="utf-8"?>
<formControlPr xmlns="http://schemas.microsoft.com/office/spreadsheetml/2009/9/main" objectType="CheckBox" fmlaLink="$AG$35" lockText="1" noThreeD="1"/>
</file>

<file path=xl/ctrlProps/ctrlProp102.xml><?xml version="1.0" encoding="utf-8"?>
<formControlPr xmlns="http://schemas.microsoft.com/office/spreadsheetml/2009/9/main" objectType="CheckBox" fmlaLink="$AG$36" lockText="1" noThreeD="1"/>
</file>

<file path=xl/ctrlProps/ctrlProp103.xml><?xml version="1.0" encoding="utf-8"?>
<formControlPr xmlns="http://schemas.microsoft.com/office/spreadsheetml/2009/9/main" objectType="CheckBox" fmlaLink="$AG$37" lockText="1" noThreeD="1"/>
</file>

<file path=xl/ctrlProps/ctrlProp104.xml><?xml version="1.0" encoding="utf-8"?>
<formControlPr xmlns="http://schemas.microsoft.com/office/spreadsheetml/2009/9/main" objectType="CheckBox" fmlaLink="$AG$38" lockText="1" noThreeD="1"/>
</file>

<file path=xl/ctrlProps/ctrlProp105.xml><?xml version="1.0" encoding="utf-8"?>
<formControlPr xmlns="http://schemas.microsoft.com/office/spreadsheetml/2009/9/main" objectType="CheckBox" fmlaLink="$AG$39" lockText="1" noThreeD="1"/>
</file>

<file path=xl/ctrlProps/ctrlProp106.xml><?xml version="1.0" encoding="utf-8"?>
<formControlPr xmlns="http://schemas.microsoft.com/office/spreadsheetml/2009/9/main" objectType="CheckBox" fmlaLink="$AG$22" lockText="1" noThreeD="1"/>
</file>

<file path=xl/ctrlProps/ctrlProp107.xml><?xml version="1.0" encoding="utf-8"?>
<formControlPr xmlns="http://schemas.microsoft.com/office/spreadsheetml/2009/9/main" objectType="CheckBox" fmlaLink="$AG$23" lockText="1" noThreeD="1"/>
</file>

<file path=xl/ctrlProps/ctrlProp108.xml><?xml version="1.0" encoding="utf-8"?>
<formControlPr xmlns="http://schemas.microsoft.com/office/spreadsheetml/2009/9/main" objectType="CheckBox" fmlaLink="$AG$24" lockText="1" noThreeD="1"/>
</file>

<file path=xl/ctrlProps/ctrlProp109.xml><?xml version="1.0" encoding="utf-8"?>
<formControlPr xmlns="http://schemas.microsoft.com/office/spreadsheetml/2009/9/main" objectType="CheckBox" fmlaLink="$AG$25" lockText="1" noThreeD="1"/>
</file>

<file path=xl/ctrlProps/ctrlProp110.xml><?xml version="1.0" encoding="utf-8"?>
<formControlPr xmlns="http://schemas.microsoft.com/office/spreadsheetml/2009/9/main" objectType="CheckBox" fmlaLink="$AG$26" lockText="1" noThreeD="1"/>
</file>

<file path=xl/ctrlProps/ctrlProp111.xml><?xml version="1.0" encoding="utf-8"?>
<formControlPr xmlns="http://schemas.microsoft.com/office/spreadsheetml/2009/9/main" objectType="CheckBox" fmlaLink="$AG$27" lockText="1" noThreeD="1"/>
</file>

<file path=xl/ctrlProps/ctrlProp112.xml><?xml version="1.0" encoding="utf-8"?>
<formControlPr xmlns="http://schemas.microsoft.com/office/spreadsheetml/2009/9/main" objectType="CheckBox" fmlaLink="$AG$28" lockText="1" noThreeD="1"/>
</file>

<file path=xl/ctrlProps/ctrlProp113.xml><?xml version="1.0" encoding="utf-8"?>
<formControlPr xmlns="http://schemas.microsoft.com/office/spreadsheetml/2009/9/main" objectType="CheckBox" fmlaLink="$AG$29" lockText="1" noThreeD="1"/>
</file>

<file path=xl/ctrlProps/ctrlProp114.xml><?xml version="1.0" encoding="utf-8"?>
<formControlPr xmlns="http://schemas.microsoft.com/office/spreadsheetml/2009/9/main" objectType="CheckBox" fmlaLink="$AG$39" lockText="1" noThreeD="1"/>
</file>

<file path=xl/ctrlProps/ctrlProp115.xml><?xml version="1.0" encoding="utf-8"?>
<formControlPr xmlns="http://schemas.microsoft.com/office/spreadsheetml/2009/9/main" objectType="CheckBox" fmlaLink="$AG$39" lockText="1" noThreeD="1"/>
</file>

<file path=xl/ctrlProps/ctrlProp116.xml><?xml version="1.0" encoding="utf-8"?>
<formControlPr xmlns="http://schemas.microsoft.com/office/spreadsheetml/2009/9/main" objectType="CheckBox" fmlaLink="$AG$39" lockText="1" noThreeD="1"/>
</file>

<file path=xl/ctrlProps/ctrlProp117.xml><?xml version="1.0" encoding="utf-8"?>
<formControlPr xmlns="http://schemas.microsoft.com/office/spreadsheetml/2009/9/main" objectType="CheckBox" fmlaLink="$AG$39" lockText="1" noThreeD="1"/>
</file>

<file path=xl/ctrlProps/ctrlProp118.xml><?xml version="1.0" encoding="utf-8"?>
<formControlPr xmlns="http://schemas.microsoft.com/office/spreadsheetml/2009/9/main" objectType="CheckBox" fmlaLink="$AG$44" lockText="1" noThreeD="1"/>
</file>

<file path=xl/ctrlProps/ctrlProp119.xml><?xml version="1.0" encoding="utf-8"?>
<formControlPr xmlns="http://schemas.microsoft.com/office/spreadsheetml/2009/9/main" objectType="CheckBox" fmlaLink="$AG$39" lockText="1" noThreeD="1"/>
</file>

<file path=xl/ctrlProps/ctrlProp120.xml><?xml version="1.0" encoding="utf-8"?>
<formControlPr xmlns="http://schemas.microsoft.com/office/spreadsheetml/2009/9/main" objectType="CheckBox" fmlaLink="$AG$40" lockText="1" noThreeD="1"/>
</file>

<file path=xl/ctrlProps/ctrlProp121.xml><?xml version="1.0" encoding="utf-8"?>
<formControlPr xmlns="http://schemas.microsoft.com/office/spreadsheetml/2009/9/main" objectType="CheckBox" fmlaLink="$AG$41" lockText="1" noThreeD="1"/>
</file>

<file path=xl/ctrlProps/ctrlProp122.xml><?xml version="1.0" encoding="utf-8"?>
<formControlPr xmlns="http://schemas.microsoft.com/office/spreadsheetml/2009/9/main" objectType="CheckBox" fmlaLink="$AG$42" lockText="1" noThreeD="1"/>
</file>

<file path=xl/ctrlProps/ctrlProp123.xml><?xml version="1.0" encoding="utf-8"?>
<formControlPr xmlns="http://schemas.microsoft.com/office/spreadsheetml/2009/9/main" objectType="CheckBox" fmlaLink="$AG$43" lockText="1" noThreeD="1"/>
</file>

<file path=xl/ctrlProps/ctrlProp124.xml><?xml version="1.0" encoding="utf-8"?>
<formControlPr xmlns="http://schemas.microsoft.com/office/spreadsheetml/2009/9/main" objectType="Radio" checked="Checked" firstButton="1" fmlaLink="$AG$3" lockText="1" noThreeD="1"/>
</file>

<file path=xl/ctrlProps/ctrlProp125.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15</xdr:row>
          <xdr:rowOff>85725</xdr:rowOff>
        </xdr:from>
        <xdr:to>
          <xdr:col>26</xdr:col>
          <xdr:colOff>57150</xdr:colOff>
          <xdr:row>15</xdr:row>
          <xdr:rowOff>295275</xdr:rowOff>
        </xdr:to>
        <xdr:sp macro="" textlink="">
          <xdr:nvSpPr>
            <xdr:cNvPr id="132097" name="Option Button 1" hidden="1">
              <a:extLst>
                <a:ext uri="{63B3BB69-23CF-44E3-9099-C40C66FF867C}">
                  <a14:compatExt spid="_x0000_s132097"/>
                </a:ext>
                <a:ext uri="{FF2B5EF4-FFF2-40B4-BE49-F238E27FC236}">
                  <a16:creationId xmlns:a16="http://schemas.microsoft.com/office/drawing/2014/main" id="{00000000-0008-0000-01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85725</xdr:rowOff>
        </xdr:from>
        <xdr:to>
          <xdr:col>26</xdr:col>
          <xdr:colOff>57150</xdr:colOff>
          <xdr:row>16</xdr:row>
          <xdr:rowOff>295275</xdr:rowOff>
        </xdr:to>
        <xdr:sp macro="" textlink="">
          <xdr:nvSpPr>
            <xdr:cNvPr id="132098" name="Option Button 2" hidden="1">
              <a:extLst>
                <a:ext uri="{63B3BB69-23CF-44E3-9099-C40C66FF867C}">
                  <a14:compatExt spid="_x0000_s132098"/>
                </a:ext>
                <a:ext uri="{FF2B5EF4-FFF2-40B4-BE49-F238E27FC236}">
                  <a16:creationId xmlns:a16="http://schemas.microsoft.com/office/drawing/2014/main" id="{00000000-0008-0000-01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85725</xdr:rowOff>
        </xdr:from>
        <xdr:to>
          <xdr:col>26</xdr:col>
          <xdr:colOff>57150</xdr:colOff>
          <xdr:row>17</xdr:row>
          <xdr:rowOff>295275</xdr:rowOff>
        </xdr:to>
        <xdr:sp macro="" textlink="">
          <xdr:nvSpPr>
            <xdr:cNvPr id="132099" name="Option Button 3" hidden="1">
              <a:extLst>
                <a:ext uri="{63B3BB69-23CF-44E3-9099-C40C66FF867C}">
                  <a14:compatExt spid="_x0000_s132099"/>
                </a:ext>
                <a:ext uri="{FF2B5EF4-FFF2-40B4-BE49-F238E27FC236}">
                  <a16:creationId xmlns:a16="http://schemas.microsoft.com/office/drawing/2014/main" id="{00000000-0008-0000-01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85725</xdr:rowOff>
        </xdr:from>
        <xdr:to>
          <xdr:col>26</xdr:col>
          <xdr:colOff>57150</xdr:colOff>
          <xdr:row>18</xdr:row>
          <xdr:rowOff>295275</xdr:rowOff>
        </xdr:to>
        <xdr:sp macro="" textlink="">
          <xdr:nvSpPr>
            <xdr:cNvPr id="132100" name="Option Button 4" hidden="1">
              <a:extLst>
                <a:ext uri="{63B3BB69-23CF-44E3-9099-C40C66FF867C}">
                  <a14:compatExt spid="_x0000_s132100"/>
                </a:ext>
                <a:ext uri="{FF2B5EF4-FFF2-40B4-BE49-F238E27FC236}">
                  <a16:creationId xmlns:a16="http://schemas.microsoft.com/office/drawing/2014/main" id="{00000000-0008-0000-01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270944</xdr:colOff>
      <xdr:row>21</xdr:row>
      <xdr:rowOff>110657</xdr:rowOff>
    </xdr:from>
    <xdr:to>
      <xdr:col>7</xdr:col>
      <xdr:colOff>27314</xdr:colOff>
      <xdr:row>30</xdr:row>
      <xdr:rowOff>204508</xdr:rowOff>
    </xdr:to>
    <xdr:grpSp>
      <xdr:nvGrpSpPr>
        <xdr:cNvPr id="2" name="グループ化 2">
          <a:extLst>
            <a:ext uri="{FF2B5EF4-FFF2-40B4-BE49-F238E27FC236}">
              <a16:creationId xmlns:a16="http://schemas.microsoft.com/office/drawing/2014/main" id="{00000000-0008-0000-0200-000002000000}"/>
            </a:ext>
          </a:extLst>
        </xdr:cNvPr>
        <xdr:cNvGrpSpPr>
          <a:grpSpLocks/>
        </xdr:cNvGrpSpPr>
      </xdr:nvGrpSpPr>
      <xdr:grpSpPr bwMode="auto">
        <a:xfrm>
          <a:off x="338980" y="5607943"/>
          <a:ext cx="1552513" cy="2393458"/>
          <a:chOff x="447674" y="5345937"/>
          <a:chExt cx="2647457" cy="2740711"/>
        </a:xfrm>
      </xdr:grpSpPr>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2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2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2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2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2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2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2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2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2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2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2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2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3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3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3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3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3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3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3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300-00000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3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3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3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3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3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4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4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4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4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4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4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4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4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4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4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4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4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4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5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5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5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5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5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5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5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5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5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5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5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5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5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6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6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6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6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6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6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6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6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6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6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6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6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6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7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7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7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7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7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7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7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7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7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7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7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7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7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8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8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8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8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8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8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8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8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8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8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8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8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8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9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9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9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9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9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9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9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9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9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9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9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9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9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184150</xdr:colOff>
      <xdr:row>17</xdr:row>
      <xdr:rowOff>12700</xdr:rowOff>
    </xdr:from>
    <xdr:ext cx="360000" cy="228601"/>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505200" y="4248150"/>
          <a:ext cx="360000"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900" b="1">
              <a:solidFill>
                <a:srgbClr val="13353D"/>
              </a:solidFill>
              <a:latin typeface="HGPｺﾞｼｯｸM" panose="020B0600000000000000" pitchFamily="50" charset="-128"/>
              <a:ea typeface="HGPｺﾞｼｯｸM" panose="020B0600000000000000" pitchFamily="50" charset="-128"/>
            </a:rPr>
            <a:t>＊</a:t>
          </a:r>
          <a:endParaRPr kumimoji="1" lang="en-US" altLang="ja-JP" sz="900" b="1">
            <a:solidFill>
              <a:srgbClr val="13353D"/>
            </a:solidFill>
            <a:latin typeface="HGPｺﾞｼｯｸM" panose="020B0600000000000000" pitchFamily="50" charset="-128"/>
            <a:ea typeface="HGPｺﾞｼｯｸM" panose="020B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42</xdr:col>
      <xdr:colOff>216514</xdr:colOff>
      <xdr:row>8</xdr:row>
      <xdr:rowOff>129138</xdr:rowOff>
    </xdr:from>
    <xdr:to>
      <xdr:col>54</xdr:col>
      <xdr:colOff>353786</xdr:colOff>
      <xdr:row>19</xdr:row>
      <xdr:rowOff>94579</xdr:rowOff>
    </xdr:to>
    <xdr:grpSp>
      <xdr:nvGrpSpPr>
        <xdr:cNvPr id="2" name="グループ化 32">
          <a:extLst>
            <a:ext uri="{FF2B5EF4-FFF2-40B4-BE49-F238E27FC236}">
              <a16:creationId xmlns:a16="http://schemas.microsoft.com/office/drawing/2014/main" id="{00000000-0008-0000-0B00-000002000000}"/>
            </a:ext>
          </a:extLst>
        </xdr:cNvPr>
        <xdr:cNvGrpSpPr>
          <a:grpSpLocks/>
        </xdr:cNvGrpSpPr>
      </xdr:nvGrpSpPr>
      <xdr:grpSpPr bwMode="auto">
        <a:xfrm>
          <a:off x="8258335" y="2129388"/>
          <a:ext cx="3402987" cy="2659655"/>
          <a:chOff x="159196" y="7833807"/>
          <a:chExt cx="3651576" cy="2925781"/>
        </a:xfrm>
      </xdr:grpSpPr>
      <xdr:sp macro="" textlink="">
        <xdr:nvSpPr>
          <xdr:cNvPr id="3" name="正方形/長方形 2">
            <a:extLst>
              <a:ext uri="{FF2B5EF4-FFF2-40B4-BE49-F238E27FC236}">
                <a16:creationId xmlns:a16="http://schemas.microsoft.com/office/drawing/2014/main" id="{00000000-0008-0000-0B00-000003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4" name="グループ化 31">
            <a:extLst>
              <a:ext uri="{FF2B5EF4-FFF2-40B4-BE49-F238E27FC236}">
                <a16:creationId xmlns:a16="http://schemas.microsoft.com/office/drawing/2014/main" id="{00000000-0008-0000-0B00-000004000000}"/>
              </a:ext>
            </a:extLst>
          </xdr:cNvPr>
          <xdr:cNvGrpSpPr>
            <a:grpSpLocks/>
          </xdr:cNvGrpSpPr>
        </xdr:nvGrpSpPr>
        <xdr:grpSpPr bwMode="auto">
          <a:xfrm>
            <a:off x="159196" y="7833807"/>
            <a:ext cx="3651576" cy="2925781"/>
            <a:chOff x="158330" y="7875352"/>
            <a:chExt cx="3704371" cy="2942000"/>
          </a:xfrm>
        </xdr:grpSpPr>
        <xdr:sp macro="" textlink="">
          <xdr:nvSpPr>
            <xdr:cNvPr id="5" name="正方形/長方形 4">
              <a:extLst>
                <a:ext uri="{FF2B5EF4-FFF2-40B4-BE49-F238E27FC236}">
                  <a16:creationId xmlns:a16="http://schemas.microsoft.com/office/drawing/2014/main" id="{00000000-0008-0000-0B00-000005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B00-000006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B00-000007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B00-000008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B00-000009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B00-00000A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1" name="直線コネクタ 10">
              <a:extLst>
                <a:ext uri="{FF2B5EF4-FFF2-40B4-BE49-F238E27FC236}">
                  <a16:creationId xmlns:a16="http://schemas.microsoft.com/office/drawing/2014/main" id="{00000000-0008-0000-0B00-00000B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B00-00000C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B00-00000D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B00-00000E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B00-00000F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B00-000010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B00-000011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B00-000012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B00-000013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B00-000014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B00-000015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47">
              <a:extLst>
                <a:ext uri="{FF2B5EF4-FFF2-40B4-BE49-F238E27FC236}">
                  <a16:creationId xmlns:a16="http://schemas.microsoft.com/office/drawing/2014/main" id="{00000000-0008-0000-0B00-000016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3" name="テキスト ボックス 48">
              <a:extLst>
                <a:ext uri="{FF2B5EF4-FFF2-40B4-BE49-F238E27FC236}">
                  <a16:creationId xmlns:a16="http://schemas.microsoft.com/office/drawing/2014/main" id="{00000000-0008-0000-0B00-000017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4" name="テキスト ボックス 49">
              <a:extLst>
                <a:ext uri="{FF2B5EF4-FFF2-40B4-BE49-F238E27FC236}">
                  <a16:creationId xmlns:a16="http://schemas.microsoft.com/office/drawing/2014/main" id="{00000000-0008-0000-0B00-000018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5" name="テキスト ボックス 50">
              <a:extLst>
                <a:ext uri="{FF2B5EF4-FFF2-40B4-BE49-F238E27FC236}">
                  <a16:creationId xmlns:a16="http://schemas.microsoft.com/office/drawing/2014/main" id="{00000000-0008-0000-0B00-000019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6" name="直線矢印コネクタ 25">
              <a:extLst>
                <a:ext uri="{FF2B5EF4-FFF2-40B4-BE49-F238E27FC236}">
                  <a16:creationId xmlns:a16="http://schemas.microsoft.com/office/drawing/2014/main" id="{00000000-0008-0000-0B00-00001A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B00-00001B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15</xdr:col>
          <xdr:colOff>57150</xdr:colOff>
          <xdr:row>34</xdr:row>
          <xdr:rowOff>228600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B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19050</xdr:rowOff>
        </xdr:from>
        <xdr:to>
          <xdr:col>15</xdr:col>
          <xdr:colOff>57150</xdr:colOff>
          <xdr:row>35</xdr:row>
          <xdr:rowOff>228600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B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19050</xdr:rowOff>
        </xdr:from>
        <xdr:to>
          <xdr:col>15</xdr:col>
          <xdr:colOff>57150</xdr:colOff>
          <xdr:row>36</xdr:row>
          <xdr:rowOff>228600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B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15</xdr:col>
          <xdr:colOff>57150</xdr:colOff>
          <xdr:row>37</xdr:row>
          <xdr:rowOff>228600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B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B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15</xdr:col>
          <xdr:colOff>38100</xdr:colOff>
          <xdr:row>21</xdr:row>
          <xdr:rowOff>219075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B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9525</xdr:rowOff>
        </xdr:from>
        <xdr:to>
          <xdr:col>15</xdr:col>
          <xdr:colOff>38100</xdr:colOff>
          <xdr:row>22</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B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38100</xdr:colOff>
          <xdr:row>23</xdr:row>
          <xdr:rowOff>219075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B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38100</xdr:colOff>
          <xdr:row>24</xdr:row>
          <xdr:rowOff>219075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B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38100</xdr:colOff>
          <xdr:row>25</xdr:row>
          <xdr:rowOff>219075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B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182531</xdr:colOff>
      <xdr:row>34</xdr:row>
      <xdr:rowOff>146135</xdr:rowOff>
    </xdr:from>
    <xdr:to>
      <xdr:col>57</xdr:col>
      <xdr:colOff>346982</xdr:colOff>
      <xdr:row>44</xdr:row>
      <xdr:rowOff>24071</xdr:rowOff>
    </xdr:to>
    <xdr:pic>
      <xdr:nvPicPr>
        <xdr:cNvPr id="38" name="図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1"/>
        <a:stretch>
          <a:fillRect/>
        </a:stretch>
      </xdr:blipFill>
      <xdr:spPr>
        <a:xfrm>
          <a:off x="8326407" y="8718635"/>
          <a:ext cx="4688825" cy="23952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15</xdr:col>
          <xdr:colOff>38100</xdr:colOff>
          <xdr:row>26</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B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9525</xdr:rowOff>
        </xdr:from>
        <xdr:to>
          <xdr:col>15</xdr:col>
          <xdr:colOff>38100</xdr:colOff>
          <xdr:row>27</xdr:row>
          <xdr:rowOff>219075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B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9525</xdr:rowOff>
        </xdr:from>
        <xdr:to>
          <xdr:col>15</xdr:col>
          <xdr:colOff>38100</xdr:colOff>
          <xdr:row>28</xdr:row>
          <xdr:rowOff>219075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B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127908</xdr:colOff>
      <xdr:row>19</xdr:row>
      <xdr:rowOff>148318</xdr:rowOff>
    </xdr:from>
    <xdr:to>
      <xdr:col>54</xdr:col>
      <xdr:colOff>176894</xdr:colOff>
      <xdr:row>27</xdr:row>
      <xdr:rowOff>13408</xdr:rowOff>
    </xdr:to>
    <xdr:pic>
      <xdr:nvPicPr>
        <xdr:cNvPr id="42" name="図 41">
          <a:extLst>
            <a:ext uri="{FF2B5EF4-FFF2-40B4-BE49-F238E27FC236}">
              <a16:creationId xmlns:a16="http://schemas.microsoft.com/office/drawing/2014/main" id="{00000000-0008-0000-0B00-00002A000000}"/>
            </a:ext>
          </a:extLst>
        </xdr:cNvPr>
        <xdr:cNvPicPr>
          <a:picLocks noChangeAspect="1"/>
        </xdr:cNvPicPr>
      </xdr:nvPicPr>
      <xdr:blipFill rotWithShape="1">
        <a:blip xmlns:r="http://schemas.openxmlformats.org/officeDocument/2006/relationships" r:embed="rId2"/>
        <a:srcRect t="48000"/>
        <a:stretch/>
      </xdr:blipFill>
      <xdr:spPr>
        <a:xfrm>
          <a:off x="8833758" y="4882243"/>
          <a:ext cx="2811236" cy="1846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B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B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B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B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15</xdr:col>
          <xdr:colOff>57150</xdr:colOff>
          <xdr:row>43</xdr:row>
          <xdr:rowOff>228600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B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B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B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B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B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B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28024" name="Option Button 24" hidden="1">
              <a:extLst>
                <a:ext uri="{63B3BB69-23CF-44E3-9099-C40C66FF867C}">
                  <a14:compatExt spid="_x0000_s128024"/>
                </a:ext>
                <a:ext uri="{FF2B5EF4-FFF2-40B4-BE49-F238E27FC236}">
                  <a16:creationId xmlns:a16="http://schemas.microsoft.com/office/drawing/2014/main" id="{00000000-0008-0000-0B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28025" name="Option Button 25" hidden="1">
              <a:extLst>
                <a:ext uri="{63B3BB69-23CF-44E3-9099-C40C66FF867C}">
                  <a14:compatExt spid="_x0000_s128025"/>
                </a:ext>
                <a:ext uri="{FF2B5EF4-FFF2-40B4-BE49-F238E27FC236}">
                  <a16:creationId xmlns:a16="http://schemas.microsoft.com/office/drawing/2014/main" id="{00000000-0008-0000-0B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B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ver3</a:t>
          </a:r>
          <a:r>
            <a:rPr kumimoji="1" lang="ja-JP" altLang="en-US" sz="1100">
              <a:solidFill>
                <a:sysClr val="windowText" lastClr="000000"/>
              </a:solidFill>
              <a:effectLst/>
              <a:latin typeface="+mn-lt"/>
              <a:ea typeface="+mn-ea"/>
              <a:cs typeface="+mn-cs"/>
            </a:rPr>
            <a:t>系においては、当面の間用いることが可能。</a:t>
          </a:r>
          <a:endParaRPr kumimoji="1" lang="ja-JP"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章第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節付録 </a:t>
          </a:r>
          <a:r>
            <a:rPr kumimoji="1" lang="en-US" altLang="ja-JP" sz="1100">
              <a:solidFill>
                <a:sysClr val="windowText" lastClr="000000"/>
              </a:solidFill>
              <a:effectLst/>
              <a:latin typeface="+mn-lt"/>
              <a:ea typeface="+mn-ea"/>
              <a:cs typeface="+mn-cs"/>
            </a:rPr>
            <a:t>D </a:t>
          </a:r>
          <a:r>
            <a:rPr kumimoji="1" lang="ja-JP" altLang="en-US" sz="1100">
              <a:solidFill>
                <a:sysClr val="windowText" lastClr="000000"/>
              </a:solidFill>
              <a:effectLst/>
              <a:latin typeface="+mn-lt"/>
              <a:ea typeface="+mn-ea"/>
              <a:cs typeface="+mn-cs"/>
            </a:rPr>
            <a:t>）</a:t>
          </a:r>
          <a:endParaRPr kumimoji="1"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twoCellAnchor>
    <xdr:from>
      <xdr:col>55</xdr:col>
      <xdr:colOff>89738</xdr:colOff>
      <xdr:row>10</xdr:row>
      <xdr:rowOff>136073</xdr:rowOff>
    </xdr:from>
    <xdr:to>
      <xdr:col>62</xdr:col>
      <xdr:colOff>227919</xdr:colOff>
      <xdr:row>28</xdr:row>
      <xdr:rowOff>85047</xdr:rowOff>
    </xdr:to>
    <xdr:sp macro="" textlink="">
      <xdr:nvSpPr>
        <xdr:cNvPr id="56" name="テキスト ボックス 55">
          <a:extLst>
            <a:ext uri="{FF2B5EF4-FFF2-40B4-BE49-F238E27FC236}">
              <a16:creationId xmlns:a16="http://schemas.microsoft.com/office/drawing/2014/main" id="{00000000-0008-0000-0B00-000038000000}"/>
            </a:ext>
          </a:extLst>
        </xdr:cNvPr>
        <xdr:cNvSpPr txBox="1"/>
      </xdr:nvSpPr>
      <xdr:spPr bwMode="auto">
        <a:xfrm>
          <a:off x="12243638" y="2641148"/>
          <a:ext cx="4938781" cy="440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諸数値の算出について</a:t>
          </a:r>
          <a:r>
            <a:rPr kumimoji="1" lang="en-US" altLang="ja-JP" sz="1200" b="1">
              <a:solidFill>
                <a:sysClr val="windowText" lastClr="000000"/>
              </a:solidFill>
            </a:rPr>
            <a:t>】</a:t>
          </a:r>
        </a:p>
        <a:p>
          <a:r>
            <a:rPr kumimoji="1" lang="ja-JP" altLang="en-US" sz="1100">
              <a:solidFill>
                <a:sysClr val="windowText" lastClr="000000"/>
              </a:solidFill>
            </a:rPr>
            <a:t>①土間床等面積の算出</a:t>
          </a:r>
          <a:endParaRPr kumimoji="1" lang="en-US" altLang="ja-JP" sz="1100">
            <a:solidFill>
              <a:sysClr val="windowText" lastClr="000000"/>
            </a:solidFill>
          </a:endParaRPr>
        </a:p>
        <a:p>
          <a:pPr>
            <a:lnSpc>
              <a:spcPts val="5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全面基礎断熱の場合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Ｌ１</a:t>
          </a:r>
          <a:r>
            <a:rPr kumimoji="1" lang="en-US" altLang="ja-JP" sz="1100">
              <a:solidFill>
                <a:sysClr val="windowText" lastClr="000000"/>
              </a:solidFill>
            </a:rPr>
            <a:t>×</a:t>
          </a:r>
          <a:r>
            <a:rPr kumimoji="1" lang="ja-JP" altLang="en-US" sz="1100">
              <a:solidFill>
                <a:sysClr val="windowText" lastClr="000000"/>
              </a:solidFill>
            </a:rPr>
            <a:t>Ｌ２</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玄関土間等、床の一部が基礎断熱の場合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Ｌ３</a:t>
          </a:r>
          <a:r>
            <a:rPr kumimoji="1" lang="en-US" altLang="ja-JP" sz="1100">
              <a:solidFill>
                <a:sysClr val="windowText" lastClr="000000"/>
              </a:solidFill>
            </a:rPr>
            <a:t>×</a:t>
          </a:r>
          <a:r>
            <a:rPr kumimoji="1" lang="ja-JP" altLang="en-US" sz="1100">
              <a:solidFill>
                <a:sysClr val="windowText" lastClr="000000"/>
              </a:solidFill>
            </a:rPr>
            <a:t>Ｌ４</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を求め入力する。</a:t>
          </a:r>
          <a:endParaRPr kumimoji="1" lang="en-US" altLang="ja-JP" sz="1100">
            <a:solidFill>
              <a:sysClr val="windowText" lastClr="000000"/>
            </a:solidFill>
          </a:endParaRPr>
        </a:p>
        <a:p>
          <a:pPr>
            <a:lnSpc>
              <a:spcPts val="1100"/>
            </a:lnSpc>
          </a:pP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②土間床等の外周長さＬの算出</a:t>
          </a:r>
          <a:endParaRPr lang="ja-JP" altLang="ja-JP" sz="1100">
            <a:effectLst/>
          </a:endParaRPr>
        </a:p>
        <a:p>
          <a:r>
            <a:rPr kumimoji="1" lang="ja-JP" altLang="ja-JP" sz="1100">
              <a:solidFill>
                <a:schemeClr val="dk1"/>
              </a:solidFill>
              <a:effectLst/>
              <a:latin typeface="+mn-lt"/>
              <a:ea typeface="+mn-ea"/>
              <a:cs typeface="+mn-cs"/>
            </a:rPr>
            <a:t>　全面基礎断熱の場合</a:t>
          </a:r>
          <a:endParaRPr lang="ja-JP" altLang="ja-JP" sz="1100">
            <a:effectLst/>
          </a:endParaRPr>
        </a:p>
        <a:p>
          <a:r>
            <a:rPr kumimoji="1" lang="ja-JP" altLang="ja-JP" sz="1100">
              <a:solidFill>
                <a:schemeClr val="dk1"/>
              </a:solidFill>
              <a:effectLst/>
              <a:latin typeface="+mn-lt"/>
              <a:ea typeface="+mn-ea"/>
              <a:cs typeface="+mn-cs"/>
            </a:rPr>
            <a:t>　　（Ｌ１＋Ｌ２）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玄関土間等、床の一部が基礎断熱の場合</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a:t>
          </a:r>
          <a:endParaRPr lang="ja-JP" altLang="ja-JP" sz="1100">
            <a:effectLst/>
          </a:endParaRPr>
        </a:p>
        <a:p>
          <a:r>
            <a:rPr kumimoji="1" lang="ja-JP" altLang="ja-JP" sz="1100">
              <a:solidFill>
                <a:schemeClr val="dk1"/>
              </a:solidFill>
              <a:effectLst/>
              <a:latin typeface="+mn-lt"/>
              <a:ea typeface="+mn-ea"/>
              <a:cs typeface="+mn-cs"/>
            </a:rPr>
            <a:t>　として入力する。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a:t>
          </a:r>
          <a:r>
            <a:rPr lang="ja-JP" altLang="ja-JP" sz="1100">
              <a:solidFill>
                <a:schemeClr val="dk1"/>
              </a:solidFill>
              <a:effectLst/>
              <a:latin typeface="+mn-lt"/>
              <a:ea typeface="+mn-ea"/>
              <a:cs typeface="+mn-cs"/>
            </a:rPr>
            <a:t>日射の当たらない基礎等とは、床下空間等の日射の当たらない基礎です。</a:t>
          </a:r>
          <a:endParaRPr lang="ja-JP" altLang="ja-JP" sz="1100">
            <a:effectLst/>
          </a:endParaRPr>
        </a:p>
        <a:p>
          <a:r>
            <a:rPr kumimoji="1" lang="ja-JP" altLang="ja-JP" sz="1100">
              <a:solidFill>
                <a:schemeClr val="dk1"/>
              </a:solidFill>
              <a:effectLst/>
              <a:latin typeface="+mn-lt"/>
              <a:ea typeface="+mn-ea"/>
              <a:cs typeface="+mn-cs"/>
            </a:rPr>
            <a:t>該当する場合はチェックを入れてください。チェックを入れると温度差係数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で計算します。</a:t>
          </a:r>
          <a:endParaRPr lang="ja-JP" altLang="ja-JP" sz="1100">
            <a:effectLst/>
          </a:endParaRPr>
        </a:p>
        <a:p>
          <a:endParaRPr kumimoji="1" lang="ja-JP" altLang="en-US" sz="1050">
            <a:solidFill>
              <a:sysClr val="windowText" lastClr="000000"/>
            </a:solidFill>
          </a:endParaRPr>
        </a:p>
      </xdr:txBody>
    </xdr:sp>
    <xdr:clientData/>
  </xdr:twoCellAnchor>
  <xdr:twoCellAnchor>
    <xdr:from>
      <xdr:col>44</xdr:col>
      <xdr:colOff>62525</xdr:colOff>
      <xdr:row>32</xdr:row>
      <xdr:rowOff>122466</xdr:rowOff>
    </xdr:from>
    <xdr:to>
      <xdr:col>49</xdr:col>
      <xdr:colOff>149679</xdr:colOff>
      <xdr:row>33</xdr:row>
      <xdr:rowOff>122465</xdr:rowOff>
    </xdr:to>
    <xdr:sp macro="" textlink="">
      <xdr:nvSpPr>
        <xdr:cNvPr id="57" name="テキスト ボックス 56">
          <a:extLst>
            <a:ext uri="{FF2B5EF4-FFF2-40B4-BE49-F238E27FC236}">
              <a16:creationId xmlns:a16="http://schemas.microsoft.com/office/drawing/2014/main" id="{00000000-0008-0000-0B00-000039000000}"/>
            </a:ext>
          </a:extLst>
        </xdr:cNvPr>
        <xdr:cNvSpPr txBox="1"/>
      </xdr:nvSpPr>
      <xdr:spPr bwMode="auto">
        <a:xfrm>
          <a:off x="8768375" y="8075841"/>
          <a:ext cx="146827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基礎壁について</a:t>
          </a:r>
          <a:r>
            <a:rPr kumimoji="1" lang="en-US" altLang="ja-JP" sz="1200" b="1">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58</xdr:col>
      <xdr:colOff>381000</xdr:colOff>
      <xdr:row>34</xdr:row>
      <xdr:rowOff>115661</xdr:rowOff>
    </xdr:from>
    <xdr:to>
      <xdr:col>66</xdr:col>
      <xdr:colOff>306984</xdr:colOff>
      <xdr:row>44</xdr:row>
      <xdr:rowOff>67434</xdr:rowOff>
    </xdr:to>
    <xdr:pic>
      <xdr:nvPicPr>
        <xdr:cNvPr id="28" name="図 27">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3"/>
        <a:stretch>
          <a:fillRect/>
        </a:stretch>
      </xdr:blipFill>
      <xdr:spPr>
        <a:xfrm>
          <a:off x="13695590" y="8688161"/>
          <a:ext cx="5096698" cy="2469094"/>
        </a:xfrm>
        <a:prstGeom prst="rect">
          <a:avLst/>
        </a:prstGeom>
      </xdr:spPr>
    </xdr:pic>
    <xdr:clientData/>
  </xdr:twoCellAnchor>
  <xdr:twoCellAnchor>
    <xdr:from>
      <xdr:col>44</xdr:col>
      <xdr:colOff>80214</xdr:colOff>
      <xdr:row>33</xdr:row>
      <xdr:rowOff>95250</xdr:rowOff>
    </xdr:from>
    <xdr:to>
      <xdr:col>48</xdr:col>
      <xdr:colOff>231320</xdr:colOff>
      <xdr:row>34</xdr:row>
      <xdr:rowOff>176893</xdr:rowOff>
    </xdr:to>
    <xdr:sp macro="" textlink="">
      <xdr:nvSpPr>
        <xdr:cNvPr id="59" name="テキスト ボックス 58">
          <a:extLst>
            <a:ext uri="{FF2B5EF4-FFF2-40B4-BE49-F238E27FC236}">
              <a16:creationId xmlns:a16="http://schemas.microsoft.com/office/drawing/2014/main" id="{00000000-0008-0000-0B00-00003B000000}"/>
            </a:ext>
          </a:extLst>
        </xdr:cNvPr>
        <xdr:cNvSpPr txBox="1"/>
      </xdr:nvSpPr>
      <xdr:spPr bwMode="auto">
        <a:xfrm>
          <a:off x="8224090" y="8416019"/>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＜新計算法＞</a:t>
          </a:r>
          <a:endParaRPr kumimoji="1" lang="ja-JP" altLang="en-US" sz="1100">
            <a:solidFill>
              <a:sysClr val="windowText" lastClr="000000"/>
            </a:solidFill>
          </a:endParaRPr>
        </a:p>
      </xdr:txBody>
    </xdr:sp>
    <xdr:clientData/>
  </xdr:twoCellAnchor>
  <xdr:twoCellAnchor>
    <xdr:from>
      <xdr:col>59</xdr:col>
      <xdr:colOff>35311</xdr:colOff>
      <xdr:row>33</xdr:row>
      <xdr:rowOff>118381</xdr:rowOff>
    </xdr:from>
    <xdr:to>
      <xdr:col>60</xdr:col>
      <xdr:colOff>574220</xdr:colOff>
      <xdr:row>34</xdr:row>
      <xdr:rowOff>200024</xdr:rowOff>
    </xdr:to>
    <xdr:sp macro="" textlink="">
      <xdr:nvSpPr>
        <xdr:cNvPr id="60" name="テキスト ボックス 59">
          <a:extLst>
            <a:ext uri="{FF2B5EF4-FFF2-40B4-BE49-F238E27FC236}">
              <a16:creationId xmlns:a16="http://schemas.microsoft.com/office/drawing/2014/main" id="{00000000-0008-0000-0B00-00003C000000}"/>
            </a:ext>
          </a:extLst>
        </xdr:cNvPr>
        <xdr:cNvSpPr txBox="1"/>
      </xdr:nvSpPr>
      <xdr:spPr bwMode="auto">
        <a:xfrm>
          <a:off x="13996240" y="8439150"/>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＜旧計算法＞</a:t>
          </a:r>
          <a:endParaRPr kumimoji="1" lang="ja-JP" altLang="en-US" sz="1100">
            <a:solidFill>
              <a:sysClr val="windowText" lastClr="000000"/>
            </a:solidFill>
          </a:endParaRPr>
        </a:p>
      </xdr:txBody>
    </xdr:sp>
    <xdr:clientData/>
  </xdr:twoCellAnchor>
  <xdr:twoCellAnchor>
    <xdr:from>
      <xdr:col>59</xdr:col>
      <xdr:colOff>12423</xdr:colOff>
      <xdr:row>38</xdr:row>
      <xdr:rowOff>194642</xdr:rowOff>
    </xdr:from>
    <xdr:to>
      <xdr:col>59</xdr:col>
      <xdr:colOff>592206</xdr:colOff>
      <xdr:row>39</xdr:row>
      <xdr:rowOff>178076</xdr:rowOff>
    </xdr:to>
    <xdr:sp macro="" textlink="">
      <xdr:nvSpPr>
        <xdr:cNvPr id="29" name="正方形/長方形 28">
          <a:extLst>
            <a:ext uri="{FF2B5EF4-FFF2-40B4-BE49-F238E27FC236}">
              <a16:creationId xmlns:a16="http://schemas.microsoft.com/office/drawing/2014/main" id="{00000000-0008-0000-0B00-00001D000000}"/>
            </a:ext>
          </a:extLst>
        </xdr:cNvPr>
        <xdr:cNvSpPr/>
      </xdr:nvSpPr>
      <xdr:spPr bwMode="auto">
        <a:xfrm>
          <a:off x="13898217" y="9810751"/>
          <a:ext cx="579783" cy="23605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（基礎壁）</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51\data\Users\USER\Desktop\&#12295;&#20316;&#26989;&#20013;&#12295;\ver2.0_mokuzou_kodate_hyoujunnyuryokug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ALAB2016SVR\data\Users\015\Desktop\2021.09.24_&#65308;&#31561;&#32026;5&#23550;&#24540;&#65310;&#12304;&#27161;&#28310;&#20837;&#21147;&#22411;&#12305;ver2.2_mokuzou_kodate_hyoujunnyuryokug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1.0.1\&#25216;&#34899;&#37096;\501&#12304;&#12381;&#12398;&#20182;&#12305;&#20491;&#20154;\&#27178;&#23665;&#22317;\2021.08.16_&#20844;&#38283;&#29256;&#65288;&#12395;&#38306;&#12377;&#12427;&#20462;&#27491;&#65286;&#22825;&#31379;&#12399;&#12316;&#12395;&#38306;&#12377;&#12427;&#19981;&#20855;&#21512;&#12398;&#20462;&#27491;&#12288;&#29256;&#65289;\02_&#12304;&#27161;&#28310;&#20837;&#21147;&#22411;&#12305;ver2.1_mokuzou_kodate_hyoujunnyuryokugata_210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ALAB2016SVR\data\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東）"/>
      <sheetName val="Ａ（北）"/>
      <sheetName val="Ａ（北東）"/>
      <sheetName val="Ａ（南東）"/>
      <sheetName val="Ａ（南）"/>
      <sheetName val="Ａ（南西）"/>
      <sheetName val="Ａ（西）"/>
      <sheetName val="Ａ（北西）"/>
      <sheetName val="Ｂ（屋根・床等）"/>
      <sheetName val="Ｃ（基礎）"/>
      <sheetName val="更新履歴"/>
    </sheetNames>
    <sheetDataSet>
      <sheetData sheetId="0"/>
      <sheetData sheetId="1">
        <row r="7">
          <cell r="AA7" t="str">
            <v>６地域</v>
          </cell>
        </row>
      </sheetData>
      <sheetData sheetId="2"/>
      <sheetData sheetId="3"/>
      <sheetData sheetId="4"/>
      <sheetData sheetId="5"/>
      <sheetData sheetId="6"/>
      <sheetData sheetId="7"/>
      <sheetData sheetId="8"/>
      <sheetData sheetId="9"/>
      <sheetData sheetId="10"/>
      <sheetData sheetId="11">
        <row r="29">
          <cell r="AE29" t="str">
            <v>南</v>
          </cell>
          <cell r="AM29" t="str">
            <v>南</v>
          </cell>
          <cell r="AN29">
            <v>0.434</v>
          </cell>
          <cell r="AO29" t="str">
            <v>南</v>
          </cell>
          <cell r="AP29">
            <v>0.93600000000000005</v>
          </cell>
        </row>
        <row r="30">
          <cell r="AE30" t="str">
            <v>東</v>
          </cell>
          <cell r="AM30" t="str">
            <v>東</v>
          </cell>
          <cell r="AN30">
            <v>0.51200000000000001</v>
          </cell>
          <cell r="AO30" t="str">
            <v>東</v>
          </cell>
          <cell r="AP30">
            <v>0.57899999999999996</v>
          </cell>
        </row>
        <row r="31">
          <cell r="AE31" t="str">
            <v>北</v>
          </cell>
          <cell r="AM31" t="str">
            <v>北</v>
          </cell>
          <cell r="AN31">
            <v>0.34100000000000003</v>
          </cell>
          <cell r="AO31" t="str">
            <v>北</v>
          </cell>
          <cell r="AP31">
            <v>0.26100000000000001</v>
          </cell>
        </row>
        <row r="32">
          <cell r="AE32" t="str">
            <v>西</v>
          </cell>
          <cell r="AM32" t="str">
            <v>西</v>
          </cell>
          <cell r="AN32">
            <v>0.504</v>
          </cell>
          <cell r="AO32" t="str">
            <v>西</v>
          </cell>
          <cell r="AP32">
            <v>0.52300000000000002</v>
          </cell>
        </row>
        <row r="33">
          <cell r="AE33" t="str">
            <v>南東</v>
          </cell>
          <cell r="AM33" t="str">
            <v>南東</v>
          </cell>
          <cell r="AN33">
            <v>0.498</v>
          </cell>
          <cell r="AO33" t="str">
            <v>南東</v>
          </cell>
          <cell r="AP33">
            <v>0.83299999999999996</v>
          </cell>
        </row>
        <row r="34">
          <cell r="AE34" t="str">
            <v>北東</v>
          </cell>
          <cell r="AM34" t="str">
            <v>北東</v>
          </cell>
          <cell r="AN34">
            <v>0.43099999999999999</v>
          </cell>
          <cell r="AO34" t="str">
            <v>北東</v>
          </cell>
          <cell r="AP34">
            <v>0.32500000000000001</v>
          </cell>
        </row>
        <row r="35">
          <cell r="AE35" t="str">
            <v>北西</v>
          </cell>
          <cell r="AM35" t="str">
            <v>北西</v>
          </cell>
          <cell r="AN35">
            <v>0.42699999999999999</v>
          </cell>
          <cell r="AO35" t="str">
            <v>北西</v>
          </cell>
          <cell r="AP35">
            <v>0.317</v>
          </cell>
        </row>
        <row r="36">
          <cell r="AE36" t="str">
            <v>南西</v>
          </cell>
          <cell r="AM36" t="str">
            <v>南西</v>
          </cell>
          <cell r="AN36">
            <v>0.49099999999999999</v>
          </cell>
          <cell r="AO36" t="str">
            <v>南西</v>
          </cell>
          <cell r="AP36">
            <v>0.76300000000000001</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sheetData sheetId="2">
        <row r="43">
          <cell r="L43">
            <v>0</v>
          </cell>
        </row>
      </sheetData>
      <sheetData sheetId="3">
        <row r="43">
          <cell r="L43">
            <v>0</v>
          </cell>
        </row>
      </sheetData>
      <sheetData sheetId="4">
        <row r="43">
          <cell r="L43">
            <v>0</v>
          </cell>
        </row>
      </sheetData>
      <sheetData sheetId="5">
        <row r="43">
          <cell r="L43">
            <v>0</v>
          </cell>
        </row>
      </sheetData>
      <sheetData sheetId="6">
        <row r="43">
          <cell r="L43">
            <v>0</v>
          </cell>
        </row>
      </sheetData>
      <sheetData sheetId="7">
        <row r="43">
          <cell r="L43">
            <v>0</v>
          </cell>
        </row>
      </sheetData>
      <sheetData sheetId="8">
        <row r="43">
          <cell r="L43">
            <v>0</v>
          </cell>
        </row>
      </sheetData>
      <sheetData sheetId="9">
        <row r="43">
          <cell r="L43">
            <v>0</v>
          </cell>
        </row>
      </sheetData>
      <sheetData sheetId="10">
        <row r="32">
          <cell r="P32">
            <v>0</v>
          </cell>
        </row>
      </sheetData>
      <sheetData sheetId="11">
        <row r="15">
          <cell r="H15">
            <v>0</v>
          </cell>
        </row>
        <row r="35">
          <cell r="AE35" t="str">
            <v>南</v>
          </cell>
          <cell r="AM35" t="str">
            <v>南</v>
          </cell>
          <cell r="AN35" t="e">
            <v>#REF!</v>
          </cell>
          <cell r="AO35" t="str">
            <v>南</v>
          </cell>
          <cell r="AP35" t="e">
            <v>#REF!</v>
          </cell>
        </row>
        <row r="36">
          <cell r="AE36" t="str">
            <v>東</v>
          </cell>
          <cell r="AM36" t="str">
            <v>東</v>
          </cell>
          <cell r="AN36" t="e">
            <v>#REF!</v>
          </cell>
          <cell r="AO36" t="str">
            <v>東</v>
          </cell>
          <cell r="AP36" t="e">
            <v>#REF!</v>
          </cell>
        </row>
        <row r="37">
          <cell r="AE37" t="str">
            <v>北</v>
          </cell>
          <cell r="AM37" t="str">
            <v>北</v>
          </cell>
          <cell r="AN37" t="e">
            <v>#REF!</v>
          </cell>
          <cell r="AO37" t="str">
            <v>北</v>
          </cell>
          <cell r="AP37" t="e">
            <v>#REF!</v>
          </cell>
        </row>
        <row r="38">
          <cell r="AE38" t="str">
            <v>西</v>
          </cell>
          <cell r="AM38" t="str">
            <v>西</v>
          </cell>
          <cell r="AN38" t="e">
            <v>#REF!</v>
          </cell>
          <cell r="AO38" t="str">
            <v>西</v>
          </cell>
          <cell r="AP38" t="e">
            <v>#REF!</v>
          </cell>
        </row>
        <row r="39">
          <cell r="AE39" t="str">
            <v>南東</v>
          </cell>
          <cell r="AM39" t="str">
            <v>南東</v>
          </cell>
          <cell r="AN39" t="e">
            <v>#REF!</v>
          </cell>
          <cell r="AO39" t="str">
            <v>南東</v>
          </cell>
          <cell r="AP39" t="e">
            <v>#REF!</v>
          </cell>
        </row>
        <row r="40">
          <cell r="AE40" t="str">
            <v>北東</v>
          </cell>
          <cell r="AM40" t="str">
            <v>北東</v>
          </cell>
          <cell r="AN40" t="e">
            <v>#REF!</v>
          </cell>
          <cell r="AO40" t="str">
            <v>北東</v>
          </cell>
          <cell r="AP40" t="e">
            <v>#REF!</v>
          </cell>
        </row>
        <row r="41">
          <cell r="AE41" t="str">
            <v>北西</v>
          </cell>
          <cell r="AM41" t="str">
            <v>北西</v>
          </cell>
          <cell r="AN41" t="e">
            <v>#REF!</v>
          </cell>
          <cell r="AO41" t="str">
            <v>北西</v>
          </cell>
          <cell r="AP41" t="e">
            <v>#REF!</v>
          </cell>
        </row>
        <row r="42">
          <cell r="AE42" t="str">
            <v>南西</v>
          </cell>
          <cell r="AM42" t="str">
            <v>南西</v>
          </cell>
          <cell r="AN42" t="e">
            <v>#REF!</v>
          </cell>
          <cell r="AO42" t="str">
            <v>南西</v>
          </cell>
          <cell r="AP42" t="e">
            <v>#REF!</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9">
          <cell r="AE29" t="str">
            <v>南</v>
          </cell>
          <cell r="AM29" t="str">
            <v>南</v>
          </cell>
          <cell r="AN29" t="b">
            <v>0</v>
          </cell>
          <cell r="AO29" t="str">
            <v>南</v>
          </cell>
          <cell r="AP29" t="b">
            <v>0</v>
          </cell>
        </row>
        <row r="30">
          <cell r="AE30" t="str">
            <v>東</v>
          </cell>
          <cell r="AM30" t="str">
            <v>東</v>
          </cell>
          <cell r="AN30" t="b">
            <v>0</v>
          </cell>
          <cell r="AO30" t="str">
            <v>東</v>
          </cell>
          <cell r="AP30" t="b">
            <v>0</v>
          </cell>
        </row>
        <row r="31">
          <cell r="AE31" t="str">
            <v>北</v>
          </cell>
          <cell r="AM31" t="str">
            <v>北</v>
          </cell>
          <cell r="AN31" t="b">
            <v>0</v>
          </cell>
          <cell r="AO31" t="str">
            <v>北</v>
          </cell>
          <cell r="AP31" t="b">
            <v>0</v>
          </cell>
        </row>
        <row r="32">
          <cell r="AE32" t="str">
            <v>西</v>
          </cell>
          <cell r="AM32" t="str">
            <v>西</v>
          </cell>
          <cell r="AN32" t="b">
            <v>0</v>
          </cell>
          <cell r="AO32" t="str">
            <v>西</v>
          </cell>
          <cell r="AP32" t="b">
            <v>0</v>
          </cell>
        </row>
        <row r="33">
          <cell r="AE33" t="str">
            <v>南東</v>
          </cell>
          <cell r="AM33" t="str">
            <v>南東</v>
          </cell>
          <cell r="AN33" t="b">
            <v>0</v>
          </cell>
          <cell r="AO33" t="str">
            <v>南東</v>
          </cell>
          <cell r="AP33" t="b">
            <v>0</v>
          </cell>
        </row>
        <row r="34">
          <cell r="AE34" t="str">
            <v>北東</v>
          </cell>
          <cell r="AM34" t="str">
            <v>北東</v>
          </cell>
          <cell r="AN34" t="b">
            <v>0</v>
          </cell>
          <cell r="AO34" t="str">
            <v>北東</v>
          </cell>
          <cell r="AP34" t="b">
            <v>0</v>
          </cell>
        </row>
        <row r="35">
          <cell r="AE35" t="str">
            <v>北西</v>
          </cell>
          <cell r="AM35" t="str">
            <v>北西</v>
          </cell>
          <cell r="AN35" t="b">
            <v>0</v>
          </cell>
          <cell r="AO35" t="str">
            <v>北西</v>
          </cell>
          <cell r="AP35" t="b">
            <v>0</v>
          </cell>
        </row>
        <row r="36">
          <cell r="AE36" t="str">
            <v>南西</v>
          </cell>
          <cell r="AM36" t="str">
            <v>南西</v>
          </cell>
          <cell r="AN36" t="b">
            <v>0</v>
          </cell>
          <cell r="AO36" t="str">
            <v>南西</v>
          </cell>
          <cell r="AP36" t="b">
            <v>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6.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7.v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8.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3" Type="http://schemas.openxmlformats.org/officeDocument/2006/relationships/vmlDrawing" Target="../drawings/vmlDrawing8.vml"/><Relationship Id="rId7" Type="http://schemas.openxmlformats.org/officeDocument/2006/relationships/ctrlProp" Target="../ctrlProps/ctrlProp80.xml"/><Relationship Id="rId12" Type="http://schemas.openxmlformats.org/officeDocument/2006/relationships/ctrlProp" Target="../ctrlProps/ctrlProp85.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9.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3" Type="http://schemas.openxmlformats.org/officeDocument/2006/relationships/vmlDrawing" Target="../drawings/vmlDrawing9.vml"/><Relationship Id="rId7" Type="http://schemas.openxmlformats.org/officeDocument/2006/relationships/ctrlProp" Target="../ctrlProps/ctrlProp92.xml"/><Relationship Id="rId12" Type="http://schemas.openxmlformats.org/officeDocument/2006/relationships/ctrlProp" Target="../ctrlProps/ctrlProp97.xml"/><Relationship Id="rId2" Type="http://schemas.openxmlformats.org/officeDocument/2006/relationships/drawing" Target="../drawings/drawing9.xml"/><Relationship Id="rId16" Type="http://schemas.openxmlformats.org/officeDocument/2006/relationships/comments" Target="../comments8.xml"/><Relationship Id="rId1" Type="http://schemas.openxmlformats.org/officeDocument/2006/relationships/printerSettings" Target="../printerSettings/printerSettings10.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10.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11.xml"/><Relationship Id="rId16" Type="http://schemas.openxmlformats.org/officeDocument/2006/relationships/ctrlProp" Target="../ctrlProps/ctrlProp113.xml"/><Relationship Id="rId20" Type="http://schemas.openxmlformats.org/officeDocument/2006/relationships/ctrlProp" Target="../ctrlProps/ctrlProp117.xml"/><Relationship Id="rId29" Type="http://schemas.openxmlformats.org/officeDocument/2006/relationships/comments" Target="../comments9.xml"/><Relationship Id="rId1" Type="http://schemas.openxmlformats.org/officeDocument/2006/relationships/printerSettings" Target="../printerSettings/printerSettings12.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
  <sheetViews>
    <sheetView showGridLines="0" tabSelected="1" view="pageBreakPreview" zoomScaleNormal="100" zoomScaleSheetLayoutView="100" workbookViewId="0">
      <selection sqref="A1:B1"/>
    </sheetView>
  </sheetViews>
  <sheetFormatPr defaultColWidth="9" defaultRowHeight="13.5"/>
  <cols>
    <col min="1" max="1" width="4.75" style="52" customWidth="1"/>
    <col min="2" max="2" width="83.875" style="52" customWidth="1"/>
    <col min="3" max="3" width="9" style="52" customWidth="1"/>
    <col min="4" max="16384" width="9" style="52"/>
  </cols>
  <sheetData>
    <row r="1" spans="1:2" ht="25.5" customHeight="1">
      <c r="A1" s="138" t="s">
        <v>104</v>
      </c>
      <c r="B1" s="138"/>
    </row>
    <row r="3" spans="1:2" ht="40.5">
      <c r="A3" s="52" t="s">
        <v>105</v>
      </c>
      <c r="B3" s="53" t="s">
        <v>106</v>
      </c>
    </row>
    <row r="4" spans="1:2" ht="116.25" customHeight="1">
      <c r="A4" s="54" t="s">
        <v>107</v>
      </c>
      <c r="B4" s="53" t="s">
        <v>115</v>
      </c>
    </row>
    <row r="5" spans="1:2" ht="102">
      <c r="A5" s="54" t="s">
        <v>108</v>
      </c>
      <c r="B5" s="53" t="s">
        <v>109</v>
      </c>
    </row>
    <row r="6" spans="1:2" ht="51">
      <c r="A6" s="55" t="s">
        <v>110</v>
      </c>
      <c r="B6" s="56" t="s">
        <v>116</v>
      </c>
    </row>
    <row r="8" spans="1:2">
      <c r="A8" s="54" t="s">
        <v>117</v>
      </c>
      <c r="B8" s="52" t="s">
        <v>118</v>
      </c>
    </row>
  </sheetData>
  <sheetProtection algorithmName="SHA-512" hashValue="fEaJTAX6i4LIhB4LU8ppBldf4FO7sB3DNm6J4HdEBjYrtJ6aOer35K3z52AnyKuh7sfSQesXxAZEsFrjk5Aceg==" saltValue="zmCxKa7l1Oj058F37+d8bQ==" spinCount="100000" sheet="1" objects="1" scenarios="1" selectLockedCells="1"/>
  <mergeCells count="1">
    <mergeCell ref="A1:B1"/>
  </mergeCells>
  <phoneticPr fontId="4"/>
  <pageMargins left="0.70866141732283472" right="0.70866141732283472" top="0.74803149606299213" bottom="0.74803149606299213" header="0.31496062992125984" footer="0.31496062992125984"/>
  <pageSetup paperSize="9" orientation="portrait" r:id="rId1"/>
  <headerFooter>
    <oddHeader>&amp;Rver. 2.3[H28]</oddHeader>
    <oddFooter>&amp;Cⓒ　2022 hyoukakyoukai.All right reserved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0665-5070-401C-A6EB-A80EA454D4D8}">
  <sheetPr>
    <tabColor rgb="FFFF0000"/>
  </sheetPr>
  <dimension ref="B1:AO147"/>
  <sheetViews>
    <sheetView showGridLines="0" view="pageBreakPreview" zoomScale="85" zoomScaleNormal="100" zoomScaleSheetLayoutView="85" workbookViewId="0">
      <selection activeCell="K6" sqref="K6:AC6"/>
    </sheetView>
  </sheetViews>
  <sheetFormatPr defaultRowHeight="13.5"/>
  <cols>
    <col min="1" max="1" width="0.75" customWidth="1"/>
    <col min="2" max="31" width="3.625" customWidth="1"/>
    <col min="32" max="40" width="10.5" hidden="1" customWidth="1"/>
    <col min="41" max="53" width="3.625" customWidth="1"/>
  </cols>
  <sheetData>
    <row r="1" spans="2:41" ht="4.5" customHeight="1"/>
    <row r="2" spans="2:41" ht="30" customHeight="1">
      <c r="B2" s="139" t="s">
        <v>93</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row>
    <row r="3" spans="2:41" ht="24.95" customHeight="1">
      <c r="B3" s="140" t="s">
        <v>92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row>
    <row r="4" spans="2:41" ht="30" customHeight="1">
      <c r="AG4" s="1" t="s">
        <v>60</v>
      </c>
      <c r="AH4" s="1"/>
      <c r="AI4" s="1"/>
      <c r="AJ4" s="1"/>
      <c r="AK4" s="1"/>
      <c r="AL4" s="1"/>
      <c r="AM4" s="1"/>
      <c r="AN4" s="1"/>
      <c r="AO4" s="1"/>
    </row>
    <row r="5" spans="2:41" ht="30" customHeight="1" thickBot="1">
      <c r="B5" s="4" t="s">
        <v>24</v>
      </c>
      <c r="AF5" s="38"/>
      <c r="AG5" s="141" t="s">
        <v>272</v>
      </c>
      <c r="AH5" s="141"/>
      <c r="AI5" s="141" t="s">
        <v>76</v>
      </c>
      <c r="AJ5" s="141"/>
      <c r="AK5" s="147" t="s">
        <v>77</v>
      </c>
      <c r="AL5" s="148"/>
      <c r="AM5" s="147" t="s">
        <v>78</v>
      </c>
      <c r="AN5" s="148"/>
    </row>
    <row r="6" spans="2:41" s="2" customFormat="1" ht="30" customHeight="1">
      <c r="B6" s="149" t="s">
        <v>25</v>
      </c>
      <c r="C6" s="150"/>
      <c r="D6" s="150"/>
      <c r="E6" s="150"/>
      <c r="F6" s="150"/>
      <c r="G6" s="150"/>
      <c r="H6" s="150"/>
      <c r="I6" s="151"/>
      <c r="J6" s="112"/>
      <c r="K6" s="152"/>
      <c r="L6" s="152"/>
      <c r="M6" s="152"/>
      <c r="N6" s="152"/>
      <c r="O6" s="152"/>
      <c r="P6" s="152"/>
      <c r="Q6" s="152"/>
      <c r="R6" s="152"/>
      <c r="S6" s="152"/>
      <c r="T6" s="152"/>
      <c r="U6" s="152"/>
      <c r="V6" s="152"/>
      <c r="W6" s="152"/>
      <c r="X6" s="152"/>
      <c r="Y6" s="152"/>
      <c r="Z6" s="152"/>
      <c r="AA6" s="152"/>
      <c r="AB6" s="152"/>
      <c r="AC6" s="153"/>
      <c r="AF6" s="38"/>
      <c r="AG6" s="114" t="s">
        <v>271</v>
      </c>
      <c r="AH6" s="114" t="s">
        <v>270</v>
      </c>
      <c r="AI6" s="114" t="s">
        <v>271</v>
      </c>
      <c r="AJ6" s="114" t="s">
        <v>270</v>
      </c>
      <c r="AK6" s="114" t="s">
        <v>271</v>
      </c>
      <c r="AL6" s="114" t="s">
        <v>270</v>
      </c>
      <c r="AM6" s="114" t="s">
        <v>271</v>
      </c>
      <c r="AN6" s="114" t="s">
        <v>270</v>
      </c>
    </row>
    <row r="7" spans="2:41" s="2" customFormat="1" ht="30" customHeight="1">
      <c r="B7" s="154" t="s">
        <v>26</v>
      </c>
      <c r="C7" s="155"/>
      <c r="D7" s="155"/>
      <c r="E7" s="155"/>
      <c r="F7" s="155"/>
      <c r="G7" s="155"/>
      <c r="H7" s="155"/>
      <c r="I7" s="156"/>
      <c r="J7" s="115"/>
      <c r="K7" s="157"/>
      <c r="L7" s="157"/>
      <c r="M7" s="157"/>
      <c r="N7" s="157"/>
      <c r="O7" s="157"/>
      <c r="P7" s="157"/>
      <c r="Q7" s="157"/>
      <c r="R7" s="157"/>
      <c r="S7" s="157"/>
      <c r="T7" s="157"/>
      <c r="U7" s="157"/>
      <c r="V7" s="157"/>
      <c r="W7" s="158"/>
      <c r="X7" s="159" t="s">
        <v>28</v>
      </c>
      <c r="Y7" s="160"/>
      <c r="Z7" s="160"/>
      <c r="AA7" s="161"/>
      <c r="AB7" s="161"/>
      <c r="AC7" s="162"/>
      <c r="AF7" s="126" t="s">
        <v>94</v>
      </c>
      <c r="AG7" s="128">
        <v>0.4</v>
      </c>
      <c r="AH7" s="124" t="s">
        <v>79</v>
      </c>
      <c r="AI7" s="125">
        <v>0.46</v>
      </c>
      <c r="AJ7" s="124" t="s">
        <v>79</v>
      </c>
      <c r="AK7" s="125">
        <v>0.54</v>
      </c>
      <c r="AL7" s="124" t="s">
        <v>79</v>
      </c>
      <c r="AM7" s="125">
        <v>0.72</v>
      </c>
      <c r="AN7" s="124" t="s">
        <v>79</v>
      </c>
    </row>
    <row r="8" spans="2:41" s="2" customFormat="1" ht="30" customHeight="1" thickBot="1">
      <c r="B8" s="142" t="s">
        <v>27</v>
      </c>
      <c r="C8" s="143"/>
      <c r="D8" s="143"/>
      <c r="E8" s="143"/>
      <c r="F8" s="143"/>
      <c r="G8" s="143"/>
      <c r="H8" s="143"/>
      <c r="I8" s="144"/>
      <c r="J8" s="113"/>
      <c r="K8" s="17"/>
      <c r="L8" s="17"/>
      <c r="M8" s="145" t="s">
        <v>29</v>
      </c>
      <c r="N8" s="145"/>
      <c r="O8" s="146"/>
      <c r="P8" s="146"/>
      <c r="Q8" s="17" t="s">
        <v>2</v>
      </c>
      <c r="R8" s="145" t="s">
        <v>30</v>
      </c>
      <c r="S8" s="145"/>
      <c r="T8" s="146"/>
      <c r="U8" s="146"/>
      <c r="V8" s="17" t="s">
        <v>2</v>
      </c>
      <c r="W8" s="17"/>
      <c r="X8" s="17"/>
      <c r="Y8" s="17"/>
      <c r="Z8" s="17"/>
      <c r="AA8" s="17"/>
      <c r="AB8" s="17"/>
      <c r="AC8" s="18"/>
      <c r="AF8" s="126" t="s">
        <v>95</v>
      </c>
      <c r="AG8" s="128">
        <v>0.4</v>
      </c>
      <c r="AH8" s="124" t="s">
        <v>79</v>
      </c>
      <c r="AI8" s="125">
        <v>0.46</v>
      </c>
      <c r="AJ8" s="124" t="s">
        <v>79</v>
      </c>
      <c r="AK8" s="125">
        <v>0.54</v>
      </c>
      <c r="AL8" s="124" t="s">
        <v>79</v>
      </c>
      <c r="AM8" s="125">
        <v>0.72</v>
      </c>
      <c r="AN8" s="124" t="s">
        <v>79</v>
      </c>
    </row>
    <row r="9" spans="2:41" s="2" customFormat="1" ht="30" customHeight="1">
      <c r="AF9" s="126" t="s">
        <v>96</v>
      </c>
      <c r="AG9" s="128">
        <v>0.5</v>
      </c>
      <c r="AH9" s="124" t="s">
        <v>79</v>
      </c>
      <c r="AI9" s="125">
        <v>0.56000000000000005</v>
      </c>
      <c r="AJ9" s="124" t="s">
        <v>79</v>
      </c>
      <c r="AK9" s="125">
        <v>1.04</v>
      </c>
      <c r="AL9" s="124" t="s">
        <v>79</v>
      </c>
      <c r="AM9" s="125">
        <v>1.21</v>
      </c>
      <c r="AN9" s="124" t="s">
        <v>79</v>
      </c>
    </row>
    <row r="10" spans="2:41" s="2" customFormat="1" ht="30" customHeight="1" thickBot="1">
      <c r="B10" s="4" t="s">
        <v>31</v>
      </c>
      <c r="AF10" s="126" t="s">
        <v>97</v>
      </c>
      <c r="AG10" s="128">
        <v>0.6</v>
      </c>
      <c r="AH10" s="124" t="s">
        <v>79</v>
      </c>
      <c r="AI10" s="125">
        <v>0.75</v>
      </c>
      <c r="AJ10" s="124" t="s">
        <v>79</v>
      </c>
      <c r="AK10" s="125">
        <v>1.25</v>
      </c>
      <c r="AL10" s="124" t="s">
        <v>79</v>
      </c>
      <c r="AM10" s="125">
        <v>1.47</v>
      </c>
      <c r="AN10" s="124" t="s">
        <v>79</v>
      </c>
    </row>
    <row r="11" spans="2:41" s="2" customFormat="1" ht="30" customHeight="1">
      <c r="B11" s="169" t="s">
        <v>150</v>
      </c>
      <c r="C11" s="170"/>
      <c r="D11" s="170"/>
      <c r="E11" s="170"/>
      <c r="F11" s="170"/>
      <c r="G11" s="170"/>
      <c r="H11" s="170"/>
      <c r="I11" s="171"/>
      <c r="J11" s="172">
        <f>ROUND('Ａ（北）'!L43+'Ａ（北東）'!L43+'Ａ（東）'!L43+'Ａ（南東）'!L43+'Ａ（南）'!L43+'Ａ（南西）'!L43+'Ａ（西）'!L43+'Ａ（北西）'!L43+'Ｂ（屋根・床等）'!P32+'Ｃ（基礎）'!H15+'Ｃ（基礎）'!H45,2)</f>
        <v>0</v>
      </c>
      <c r="K11" s="173"/>
      <c r="L11" s="173"/>
      <c r="M11" s="174" t="s">
        <v>22</v>
      </c>
      <c r="N11" s="175"/>
      <c r="O11" s="169" t="s">
        <v>90</v>
      </c>
      <c r="P11" s="170"/>
      <c r="Q11" s="170"/>
      <c r="R11" s="170"/>
      <c r="S11" s="170"/>
      <c r="T11" s="170"/>
      <c r="U11" s="170"/>
      <c r="V11" s="170"/>
      <c r="W11" s="171"/>
      <c r="X11" s="163">
        <f>IF(AH24=0,0,ROUNDUP((AH24/J11)*100,1))</f>
        <v>0</v>
      </c>
      <c r="Y11" s="164"/>
      <c r="Z11" s="164"/>
      <c r="AA11" s="164"/>
      <c r="AB11" s="50"/>
      <c r="AC11" s="51"/>
      <c r="AF11" s="126" t="s">
        <v>98</v>
      </c>
      <c r="AG11" s="128">
        <v>0.6</v>
      </c>
      <c r="AH11" s="124">
        <v>3</v>
      </c>
      <c r="AI11" s="125">
        <v>0.87</v>
      </c>
      <c r="AJ11" s="124">
        <v>3</v>
      </c>
      <c r="AK11" s="125">
        <v>1.54</v>
      </c>
      <c r="AL11" s="124">
        <v>4</v>
      </c>
      <c r="AM11" s="125">
        <v>1.67</v>
      </c>
      <c r="AN11" s="124" t="s">
        <v>79</v>
      </c>
    </row>
    <row r="12" spans="2:41" s="2" customFormat="1" ht="30" customHeight="1" thickBot="1">
      <c r="B12" s="142" t="s">
        <v>89</v>
      </c>
      <c r="C12" s="143"/>
      <c r="D12" s="143"/>
      <c r="E12" s="143"/>
      <c r="F12" s="143"/>
      <c r="G12" s="143"/>
      <c r="H12" s="143"/>
      <c r="I12" s="144"/>
      <c r="J12" s="165">
        <f>IF(AH23=0,0,ROUNDUP(AH23/J11,2))</f>
        <v>0</v>
      </c>
      <c r="K12" s="165"/>
      <c r="L12" s="165"/>
      <c r="M12" s="166" t="s">
        <v>32</v>
      </c>
      <c r="N12" s="167"/>
      <c r="O12" s="142" t="s">
        <v>91</v>
      </c>
      <c r="P12" s="143"/>
      <c r="Q12" s="143"/>
      <c r="R12" s="143"/>
      <c r="S12" s="143"/>
      <c r="T12" s="143"/>
      <c r="U12" s="143"/>
      <c r="V12" s="143"/>
      <c r="W12" s="144"/>
      <c r="X12" s="168" t="str">
        <f>IF(AA7="８地域","-",IF(AH25=0,"0",ROUNDDOWN((AH25/J11)*100,1)))</f>
        <v>0</v>
      </c>
      <c r="Y12" s="165"/>
      <c r="Z12" s="165"/>
      <c r="AA12" s="165"/>
      <c r="AB12" s="176"/>
      <c r="AC12" s="177"/>
      <c r="AF12" s="126" t="s">
        <v>99</v>
      </c>
      <c r="AG12" s="128">
        <v>0.6</v>
      </c>
      <c r="AH12" s="124">
        <v>2.8</v>
      </c>
      <c r="AI12" s="125">
        <v>0.87</v>
      </c>
      <c r="AJ12" s="124">
        <v>2.8</v>
      </c>
      <c r="AK12" s="125">
        <v>1.54</v>
      </c>
      <c r="AL12" s="124">
        <v>3.8</v>
      </c>
      <c r="AM12" s="125">
        <v>1.67</v>
      </c>
      <c r="AN12" s="124" t="s">
        <v>79</v>
      </c>
    </row>
    <row r="13" spans="2:41" s="2" customFormat="1" ht="30" customHeight="1">
      <c r="J13" s="39"/>
      <c r="K13" s="39"/>
      <c r="L13" s="39"/>
      <c r="M13" s="130"/>
      <c r="N13" s="129"/>
      <c r="AF13" s="126" t="s">
        <v>100</v>
      </c>
      <c r="AG13" s="128">
        <v>0.6</v>
      </c>
      <c r="AH13" s="124">
        <v>2.7</v>
      </c>
      <c r="AI13" s="125">
        <v>0.87</v>
      </c>
      <c r="AJ13" s="124">
        <v>2.7</v>
      </c>
      <c r="AK13" s="125">
        <v>1.81</v>
      </c>
      <c r="AL13" s="124">
        <v>4</v>
      </c>
      <c r="AM13" s="125">
        <v>2.35</v>
      </c>
      <c r="AN13" s="124" t="s">
        <v>79</v>
      </c>
    </row>
    <row r="14" spans="2:41" s="2" customFormat="1" ht="30" customHeight="1">
      <c r="Z14" s="15"/>
      <c r="AA14" s="16"/>
      <c r="AB14" s="16"/>
      <c r="AC14" s="127"/>
      <c r="AF14" s="126" t="s">
        <v>101</v>
      </c>
      <c r="AG14" s="125" t="s">
        <v>79</v>
      </c>
      <c r="AH14" s="124">
        <v>6.7</v>
      </c>
      <c r="AI14" s="125" t="s">
        <v>79</v>
      </c>
      <c r="AJ14" s="124">
        <v>6.7</v>
      </c>
      <c r="AK14" s="125" t="s">
        <v>79</v>
      </c>
      <c r="AL14" s="125" t="s">
        <v>79</v>
      </c>
      <c r="AM14" s="125" t="s">
        <v>79</v>
      </c>
      <c r="AN14" s="124" t="s">
        <v>79</v>
      </c>
    </row>
    <row r="15" spans="2:41" s="2" customFormat="1" ht="30" customHeight="1" thickBot="1">
      <c r="B15" s="4" t="s">
        <v>61</v>
      </c>
      <c r="AF15" s="1"/>
      <c r="AG15" s="1"/>
      <c r="AH15" s="1"/>
      <c r="AI15" s="1"/>
      <c r="AJ15" s="1"/>
      <c r="AK15" s="1"/>
      <c r="AL15" s="1"/>
      <c r="AM15" s="1"/>
      <c r="AN15" s="1"/>
    </row>
    <row r="16" spans="2:41" s="2" customFormat="1" ht="30" customHeight="1" thickBot="1">
      <c r="B16" s="178"/>
      <c r="C16" s="179"/>
      <c r="D16" s="179"/>
      <c r="E16" s="179"/>
      <c r="F16" s="179"/>
      <c r="G16" s="179"/>
      <c r="H16" s="179"/>
      <c r="I16" s="180"/>
      <c r="J16" s="181" t="s">
        <v>62</v>
      </c>
      <c r="K16" s="182"/>
      <c r="L16" s="182"/>
      <c r="M16" s="182"/>
      <c r="N16" s="182"/>
      <c r="O16" s="182" t="s">
        <v>63</v>
      </c>
      <c r="P16" s="182"/>
      <c r="Q16" s="182"/>
      <c r="R16" s="182"/>
      <c r="S16" s="182"/>
      <c r="T16" s="183" t="s">
        <v>64</v>
      </c>
      <c r="U16" s="183"/>
      <c r="V16" s="183"/>
      <c r="W16" s="183"/>
      <c r="X16" s="184"/>
      <c r="Z16" s="123"/>
      <c r="AA16" s="185" t="s">
        <v>269</v>
      </c>
      <c r="AB16" s="186"/>
      <c r="AC16" s="187"/>
      <c r="AG16" s="1" t="s">
        <v>268</v>
      </c>
    </row>
    <row r="17" spans="2:40" s="2" customFormat="1" ht="30" customHeight="1">
      <c r="B17" s="149" t="s">
        <v>151</v>
      </c>
      <c r="C17" s="150"/>
      <c r="D17" s="150"/>
      <c r="E17" s="150"/>
      <c r="F17" s="150"/>
      <c r="G17" s="150"/>
      <c r="H17" s="150"/>
      <c r="I17" s="150"/>
      <c r="J17" s="209">
        <f>J12</f>
        <v>0</v>
      </c>
      <c r="K17" s="210"/>
      <c r="L17" s="210"/>
      <c r="M17" s="211" t="s">
        <v>32</v>
      </c>
      <c r="N17" s="212"/>
      <c r="O17" s="213" t="e">
        <f>IF(AG17=1,AG20,IF(AG17=2,AI20,IF(AG17=3,AK20,IF(AG17=4,AM20,"-"))))</f>
        <v>#N/A</v>
      </c>
      <c r="P17" s="214"/>
      <c r="Q17" s="214"/>
      <c r="R17" s="211" t="s">
        <v>32</v>
      </c>
      <c r="S17" s="212"/>
      <c r="T17" s="188" t="e">
        <f>IF(O17="-","-",(IF(O17-J17&gt;=0,"適合","不適合")))</f>
        <v>#N/A</v>
      </c>
      <c r="U17" s="188"/>
      <c r="V17" s="188"/>
      <c r="W17" s="188"/>
      <c r="X17" s="189"/>
      <c r="Z17" s="122"/>
      <c r="AA17" s="195" t="s">
        <v>80</v>
      </c>
      <c r="AB17" s="196"/>
      <c r="AC17" s="197"/>
      <c r="AG17" s="121">
        <v>1</v>
      </c>
    </row>
    <row r="18" spans="2:40" s="2" customFormat="1" ht="30" customHeight="1" thickBot="1">
      <c r="B18" s="198" t="s">
        <v>152</v>
      </c>
      <c r="C18" s="199"/>
      <c r="D18" s="199"/>
      <c r="E18" s="199"/>
      <c r="F18" s="199"/>
      <c r="G18" s="199"/>
      <c r="H18" s="199"/>
      <c r="I18" s="199"/>
      <c r="J18" s="168">
        <f>X11</f>
        <v>0</v>
      </c>
      <c r="K18" s="165"/>
      <c r="L18" s="165"/>
      <c r="M18" s="200"/>
      <c r="N18" s="201"/>
      <c r="O18" s="202" t="e">
        <f>IF(AG17=1,AH20,IF(AG17=2,AJ20,IF(AG17=3,AL20,"-")))</f>
        <v>#N/A</v>
      </c>
      <c r="P18" s="203"/>
      <c r="Q18" s="203"/>
      <c r="R18" s="200"/>
      <c r="S18" s="201"/>
      <c r="T18" s="204" t="e">
        <f>IF(O18="-","-",(IF(O18&gt;=J18,"適合","不適合")))</f>
        <v>#N/A</v>
      </c>
      <c r="U18" s="204"/>
      <c r="V18" s="204"/>
      <c r="W18" s="204"/>
      <c r="X18" s="205"/>
      <c r="Z18" s="41"/>
      <c r="AA18" s="206" t="s">
        <v>81</v>
      </c>
      <c r="AB18" s="207"/>
      <c r="AC18" s="208"/>
      <c r="AF18" s="1"/>
    </row>
    <row r="19" spans="2:40" s="2" customFormat="1" ht="30" customHeight="1" thickBot="1">
      <c r="Z19" s="42"/>
      <c r="AA19" s="190" t="s">
        <v>82</v>
      </c>
      <c r="AB19" s="191"/>
      <c r="AC19" s="192"/>
      <c r="AF19" s="118"/>
      <c r="AG19" s="1" t="s">
        <v>267</v>
      </c>
      <c r="AH19" s="1"/>
      <c r="AI19" s="1"/>
      <c r="AJ19" s="1"/>
      <c r="AK19" s="1"/>
      <c r="AL19" s="1"/>
      <c r="AM19" s="1"/>
      <c r="AN19" s="1"/>
    </row>
    <row r="20" spans="2:40" s="2" customFormat="1" ht="30" customHeight="1">
      <c r="AF20" s="118"/>
      <c r="AG20" s="119" t="e">
        <f>VLOOKUP(AA7,$AF$7:$AN$14,2,FALSE)</f>
        <v>#N/A</v>
      </c>
      <c r="AH20" s="120" t="e">
        <f>VLOOKUP(AA7,$AF$7:$AN$14,3,FALSE)</f>
        <v>#N/A</v>
      </c>
      <c r="AI20" s="119" t="e">
        <f>VLOOKUP(AA7,$AF$7:$AN$14,4,FALSE)</f>
        <v>#N/A</v>
      </c>
      <c r="AJ20" s="120" t="e">
        <f>VLOOKUP(AA7,$AF$7:$AN$14,5,FALSE)</f>
        <v>#N/A</v>
      </c>
      <c r="AK20" s="119" t="e">
        <f>VLOOKUP(AA7,$AF$7:$AN$14,6,FALSE)</f>
        <v>#N/A</v>
      </c>
      <c r="AL20" s="120" t="e">
        <f>VLOOKUP(AA7,$AF$7:$AN$14,7,FALSE)</f>
        <v>#N/A</v>
      </c>
      <c r="AM20" s="119" t="e">
        <f>VLOOKUP(AA7,$AF$7:$AN$14,8,FALSE)</f>
        <v>#N/A</v>
      </c>
      <c r="AN20" s="114" t="e">
        <f>VLOOKUP(AA7,$AF$7:$AN$14,9,FALSE)</f>
        <v>#N/A</v>
      </c>
    </row>
    <row r="21" spans="2:40" s="2" customFormat="1" ht="30" customHeight="1">
      <c r="AF21" s="118"/>
      <c r="AI21" s="1"/>
      <c r="AJ21" s="1"/>
      <c r="AK21" s="1"/>
      <c r="AL21" s="1"/>
      <c r="AM21" s="1"/>
      <c r="AN21" s="1"/>
    </row>
    <row r="22" spans="2:40"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G22" s="1" t="s">
        <v>266</v>
      </c>
      <c r="AH22" s="1"/>
      <c r="AI22" s="1"/>
      <c r="AJ22" s="1"/>
      <c r="AK22" s="1"/>
      <c r="AL22" s="1"/>
      <c r="AM22" s="1"/>
      <c r="AN22" s="1"/>
    </row>
    <row r="23" spans="2:40" s="2" customFormat="1" ht="30" customHeight="1">
      <c r="C23" s="7" t="s">
        <v>277</v>
      </c>
      <c r="AB23" s="12"/>
      <c r="AG23" s="114" t="s">
        <v>265</v>
      </c>
      <c r="AH23" s="117">
        <f>'Ａ（北）'!W46+'Ａ（北東）'!W46+'Ａ（東）'!W46+'Ａ（南東）'!W46+'Ａ（南）'!W46+'Ａ（南西）'!W46+'Ａ（西）'!W46+'Ａ（北西）'!W46+'Ｂ（屋根・床等）'!W35+'Ｃ（基礎）'!Q30+'Ｃ（基礎）'!W45</f>
        <v>0</v>
      </c>
      <c r="AI23" s="1"/>
      <c r="AJ23" s="1"/>
      <c r="AK23" s="1"/>
      <c r="AL23" s="1"/>
      <c r="AM23" s="1"/>
      <c r="AN23" s="1"/>
    </row>
    <row r="24" spans="2:40" s="2" customFormat="1" ht="30" customHeight="1">
      <c r="C24" s="7" t="s">
        <v>111</v>
      </c>
      <c r="AB24" s="12"/>
      <c r="AG24" s="114" t="s">
        <v>264</v>
      </c>
      <c r="AH24" s="117">
        <f>'Ａ（北）'!W44+'Ａ（北東）'!W44+'Ａ（東）'!W44+'Ａ（南東）'!W44+'Ａ（南）'!W44+'Ａ（南西）'!W44+'Ａ（西）'!W44+'Ａ（北西）'!W44+'Ｂ（屋根・床等）'!W33+'Ｃ（基礎）'!Q45</f>
        <v>0</v>
      </c>
      <c r="AI24" s="1"/>
      <c r="AJ24" s="1"/>
      <c r="AK24" s="1"/>
      <c r="AL24" s="1"/>
      <c r="AM24" s="1"/>
      <c r="AN24" s="1"/>
    </row>
    <row r="25" spans="2:40" s="2" customFormat="1" ht="30" customHeight="1">
      <c r="C25" s="7" t="s">
        <v>112</v>
      </c>
      <c r="G25" s="193" t="s">
        <v>52</v>
      </c>
      <c r="H25" s="194"/>
      <c r="I25" s="7" t="s">
        <v>51</v>
      </c>
      <c r="AB25" s="12"/>
      <c r="AG25" s="114" t="s">
        <v>263</v>
      </c>
      <c r="AH25" s="117">
        <f>'Ａ（北）'!W45+'Ａ（北東）'!W45+'Ａ（東）'!W45+'Ａ（南東）'!W45+'Ａ（南）'!W45+'Ａ（南西）'!W45+'Ａ（西）'!W45+'Ａ（北西）'!W45+'Ｂ（屋根・床等）'!W34+'Ｃ（基礎）'!T45</f>
        <v>0</v>
      </c>
    </row>
    <row r="26" spans="2:40" s="2" customFormat="1" ht="30" customHeight="1">
      <c r="C26" s="7" t="s">
        <v>113</v>
      </c>
      <c r="G26" s="116"/>
      <c r="H26" s="116"/>
      <c r="AB26" s="12"/>
      <c r="AG26"/>
    </row>
    <row r="27" spans="2:40" s="2" customFormat="1" ht="30" customHeight="1">
      <c r="C27" s="7" t="s">
        <v>114</v>
      </c>
      <c r="AB27" s="12"/>
      <c r="AG27"/>
    </row>
    <row r="28" spans="2:40" s="2" customFormat="1" ht="30" customHeight="1">
      <c r="C28" s="13" t="s">
        <v>102</v>
      </c>
      <c r="D28" s="5"/>
      <c r="E28" s="5"/>
      <c r="F28" s="5"/>
      <c r="G28" s="5"/>
      <c r="H28" s="5"/>
      <c r="I28" s="5"/>
      <c r="J28" s="5"/>
      <c r="K28" s="5"/>
      <c r="L28" s="5"/>
      <c r="M28" s="5"/>
      <c r="N28" s="5"/>
      <c r="O28" s="5"/>
      <c r="P28" s="5"/>
      <c r="Q28" s="5"/>
      <c r="R28" s="5"/>
      <c r="S28" s="5"/>
      <c r="T28" s="5"/>
      <c r="U28" s="5"/>
      <c r="V28" s="5"/>
      <c r="W28" s="5"/>
      <c r="X28" s="5"/>
      <c r="Y28" s="5"/>
      <c r="Z28" s="5"/>
      <c r="AA28" s="5"/>
      <c r="AB28" s="14"/>
      <c r="AG28"/>
    </row>
    <row r="29" spans="2:40" s="2" customFormat="1" ht="30" customHeight="1"/>
    <row r="30" spans="2:40" s="2" customFormat="1" ht="30" customHeight="1"/>
    <row r="31" spans="2:40" s="2" customFormat="1" ht="30" customHeight="1"/>
    <row r="32" spans="2:40" s="2" customFormat="1" ht="20.100000000000001" customHeight="1"/>
    <row r="33" s="2" customFormat="1" ht="20.100000000000001" customHeight="1"/>
    <row r="34" s="2" customFormat="1" ht="20.100000000000001" customHeight="1"/>
    <row r="35" s="2" customFormat="1" ht="20.100000000000001" customHeight="1"/>
    <row r="36" s="2" customFormat="1" ht="20.100000000000001" customHeight="1"/>
    <row r="37" s="2" customFormat="1" ht="20.100000000000001" customHeight="1"/>
    <row r="38" s="2" customFormat="1" ht="20.100000000000001" customHeight="1"/>
    <row r="39" s="2" customFormat="1" ht="20.100000000000001" customHeight="1"/>
    <row r="40" s="2" customFormat="1" ht="20.100000000000001" customHeight="1"/>
    <row r="41" s="2" customFormat="1" ht="20.100000000000001" customHeight="1"/>
    <row r="42" s="2" customFormat="1" ht="20.100000000000001" customHeight="1"/>
    <row r="43" s="2" customFormat="1" ht="20.100000000000001" customHeight="1"/>
    <row r="44" s="2" customFormat="1" ht="20.100000000000001" customHeight="1"/>
    <row r="45" s="2" customFormat="1" ht="20.100000000000001" customHeight="1"/>
    <row r="46" s="2" customFormat="1" ht="20.100000000000001" customHeight="1"/>
    <row r="47" s="2" customFormat="1" ht="20.100000000000001" customHeight="1"/>
    <row r="48"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customFormat="1" ht="20.100000000000001" customHeight="1"/>
    <row r="145" customFormat="1" ht="20.100000000000001" customHeight="1"/>
    <row r="146" customFormat="1" ht="20.100000000000001" customHeight="1"/>
    <row r="147" customFormat="1" ht="20.100000000000001" customHeight="1"/>
  </sheetData>
  <sheetProtection algorithmName="SHA-512" hashValue="OTKJLGMiYisM7VB1dR817OlFrDyQZTez1IIEC3Ijjbv0XRoWrg43Ryoc8CtJqwTBGiBzFcUoW8ZqRtiQwX/pug==" saltValue="OEj20WyMNMm+dB323PcKJA==" spinCount="100000" sheet="1" objects="1" scenarios="1" selectLockedCells="1"/>
  <mergeCells count="49">
    <mergeCell ref="T17:X17"/>
    <mergeCell ref="AA19:AC19"/>
    <mergeCell ref="G25:H25"/>
    <mergeCell ref="AA17:AC17"/>
    <mergeCell ref="B18:I18"/>
    <mergeCell ref="J18:L18"/>
    <mergeCell ref="M18:N18"/>
    <mergeCell ref="O18:Q18"/>
    <mergeCell ref="R18:S18"/>
    <mergeCell ref="T18:X18"/>
    <mergeCell ref="AA18:AC18"/>
    <mergeCell ref="B17:I17"/>
    <mergeCell ref="J17:L17"/>
    <mergeCell ref="M17:N17"/>
    <mergeCell ref="O17:Q17"/>
    <mergeCell ref="R17:S17"/>
    <mergeCell ref="AB12:AC12"/>
    <mergeCell ref="B16:I16"/>
    <mergeCell ref="J16:N16"/>
    <mergeCell ref="O16:S16"/>
    <mergeCell ref="T16:X16"/>
    <mergeCell ref="AA16:AC16"/>
    <mergeCell ref="X11:AA11"/>
    <mergeCell ref="B12:I12"/>
    <mergeCell ref="J12:L12"/>
    <mergeCell ref="M12:N12"/>
    <mergeCell ref="O12:W12"/>
    <mergeCell ref="X12:AA12"/>
    <mergeCell ref="B11:I11"/>
    <mergeCell ref="J11:L11"/>
    <mergeCell ref="M11:N11"/>
    <mergeCell ref="O11:W11"/>
    <mergeCell ref="AM5:AN5"/>
    <mergeCell ref="B6:I6"/>
    <mergeCell ref="K6:AC6"/>
    <mergeCell ref="B7:I7"/>
    <mergeCell ref="K7:W7"/>
    <mergeCell ref="AK5:AL5"/>
    <mergeCell ref="X7:Z7"/>
    <mergeCell ref="AA7:AC7"/>
    <mergeCell ref="B2:AC2"/>
    <mergeCell ref="B3:AC3"/>
    <mergeCell ref="AG5:AH5"/>
    <mergeCell ref="AI5:AJ5"/>
    <mergeCell ref="B8:I8"/>
    <mergeCell ref="M8:N8"/>
    <mergeCell ref="O8:P8"/>
    <mergeCell ref="R8:S8"/>
    <mergeCell ref="T8:U8"/>
  </mergeCells>
  <phoneticPr fontId="4"/>
  <conditionalFormatting sqref="AF7:AN14">
    <cfRule type="expression" dxfId="183" priority="1">
      <formula>$AA$7=$AF7</formula>
    </cfRule>
  </conditionalFormatting>
  <dataValidations count="1">
    <dataValidation type="list" allowBlank="1" showInputMessage="1" showErrorMessage="1" sqref="AA7:AC7" xr:uid="{53506D60-FB22-4CC0-9197-A80056736E92}">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Option Button 1">
              <controlPr defaultSize="0" autoFill="0" autoLine="0" autoPict="0">
                <anchor moveWithCells="1">
                  <from>
                    <xdr:col>25</xdr:col>
                    <xdr:colOff>28575</xdr:colOff>
                    <xdr:row>15</xdr:row>
                    <xdr:rowOff>85725</xdr:rowOff>
                  </from>
                  <to>
                    <xdr:col>26</xdr:col>
                    <xdr:colOff>57150</xdr:colOff>
                    <xdr:row>15</xdr:row>
                    <xdr:rowOff>295275</xdr:rowOff>
                  </to>
                </anchor>
              </controlPr>
            </control>
          </mc:Choice>
        </mc:AlternateContent>
        <mc:AlternateContent xmlns:mc="http://schemas.openxmlformats.org/markup-compatibility/2006">
          <mc:Choice Requires="x14">
            <control shapeId="132098" r:id="rId5" name="Option Button 2">
              <controlPr defaultSize="0" autoFill="0" autoLine="0" autoPict="0">
                <anchor moveWithCells="1">
                  <from>
                    <xdr:col>25</xdr:col>
                    <xdr:colOff>28575</xdr:colOff>
                    <xdr:row>16</xdr:row>
                    <xdr:rowOff>85725</xdr:rowOff>
                  </from>
                  <to>
                    <xdr:col>26</xdr:col>
                    <xdr:colOff>57150</xdr:colOff>
                    <xdr:row>16</xdr:row>
                    <xdr:rowOff>295275</xdr:rowOff>
                  </to>
                </anchor>
              </controlPr>
            </control>
          </mc:Choice>
        </mc:AlternateContent>
        <mc:AlternateContent xmlns:mc="http://schemas.openxmlformats.org/markup-compatibility/2006">
          <mc:Choice Requires="x14">
            <control shapeId="132099" r:id="rId6" name="Option Button 3">
              <controlPr defaultSize="0" autoFill="0" autoLine="0" autoPict="0">
                <anchor moveWithCells="1">
                  <from>
                    <xdr:col>25</xdr:col>
                    <xdr:colOff>28575</xdr:colOff>
                    <xdr:row>17</xdr:row>
                    <xdr:rowOff>85725</xdr:rowOff>
                  </from>
                  <to>
                    <xdr:col>26</xdr:col>
                    <xdr:colOff>57150</xdr:colOff>
                    <xdr:row>17</xdr:row>
                    <xdr:rowOff>295275</xdr:rowOff>
                  </to>
                </anchor>
              </controlPr>
            </control>
          </mc:Choice>
        </mc:AlternateContent>
        <mc:AlternateContent xmlns:mc="http://schemas.openxmlformats.org/markup-compatibility/2006">
          <mc:Choice Requires="x14">
            <control shapeId="132100" r:id="rId7" name="Option Button 4">
              <controlPr defaultSize="0" autoFill="0" autoLine="0" autoPict="0">
                <anchor moveWithCells="1">
                  <from>
                    <xdr:col>25</xdr:col>
                    <xdr:colOff>28575</xdr:colOff>
                    <xdr:row>18</xdr:row>
                    <xdr:rowOff>85725</xdr:rowOff>
                  </from>
                  <to>
                    <xdr:col>26</xdr:col>
                    <xdr:colOff>57150</xdr:colOff>
                    <xdr:row>18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251C-38CE-4DB4-A2E7-8C58BF69A756}">
  <sheetPr codeName="Sheet3"/>
  <dimension ref="B1:AO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9" width="3.875" customWidth="1"/>
    <col min="30" max="31" width="10.625" hidden="1" customWidth="1"/>
    <col min="32" max="32" width="2.625" hidden="1" customWidth="1"/>
    <col min="33" max="35" width="10.625" hidden="1" customWidth="1"/>
    <col min="36" max="36" width="2.625" hidden="1" customWidth="1"/>
    <col min="37" max="38" width="15.625" hidden="1" customWidth="1"/>
    <col min="39" max="39" width="2.625" hidden="1" customWidth="1"/>
    <col min="40" max="41" width="10.625" hidden="1" customWidth="1"/>
    <col min="42" max="43" width="3.625" customWidth="1"/>
    <col min="44" max="47" width="4.625" customWidth="1"/>
  </cols>
  <sheetData>
    <row r="1" spans="2:41" ht="3.95" customHeight="1"/>
    <row r="2" spans="2:41" s="1" customFormat="1" ht="30" customHeight="1">
      <c r="B2" s="379" t="s">
        <v>186</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row>
    <row r="3" spans="2:41" s="2" customFormat="1" ht="24.95" customHeight="1" thickBot="1"/>
    <row r="4" spans="2:41" s="2" customFormat="1" ht="21.95" customHeight="1" thickBot="1">
      <c r="B4" s="4" t="s">
        <v>5</v>
      </c>
      <c r="R4" s="380" t="s">
        <v>33</v>
      </c>
      <c r="S4" s="381"/>
      <c r="T4" s="381"/>
      <c r="U4" s="382"/>
      <c r="V4" s="383"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W4" s="384"/>
      <c r="X4" s="383"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Y4" s="384"/>
    </row>
    <row r="5" spans="2:41" s="2" customFormat="1" ht="21.95" customHeight="1">
      <c r="B5" s="385" t="s">
        <v>6</v>
      </c>
      <c r="C5" s="285"/>
      <c r="D5" s="285" t="s">
        <v>153</v>
      </c>
      <c r="E5" s="285"/>
      <c r="F5" s="285"/>
      <c r="G5" s="285"/>
      <c r="H5" s="284" t="s">
        <v>154</v>
      </c>
      <c r="I5" s="285"/>
      <c r="J5" s="284" t="s">
        <v>65</v>
      </c>
      <c r="K5" s="285"/>
      <c r="L5" s="284" t="s">
        <v>9</v>
      </c>
      <c r="M5" s="285"/>
      <c r="N5" s="388" t="s">
        <v>46</v>
      </c>
      <c r="O5" s="232"/>
      <c r="P5" s="232"/>
      <c r="Q5" s="232"/>
      <c r="R5" s="232"/>
      <c r="S5" s="232"/>
      <c r="T5" s="232"/>
      <c r="U5" s="232"/>
      <c r="V5" s="284" t="s">
        <v>155</v>
      </c>
      <c r="W5" s="285"/>
      <c r="X5" s="284" t="s">
        <v>156</v>
      </c>
      <c r="Y5" s="285"/>
      <c r="Z5" s="284" t="s">
        <v>123</v>
      </c>
      <c r="AA5" s="291"/>
    </row>
    <row r="6" spans="2:41" s="2" customFormat="1" ht="21.95" customHeight="1">
      <c r="B6" s="386"/>
      <c r="C6" s="286"/>
      <c r="D6" s="367" t="s">
        <v>8</v>
      </c>
      <c r="E6" s="368"/>
      <c r="F6" s="371" t="s">
        <v>7</v>
      </c>
      <c r="G6" s="372"/>
      <c r="H6" s="286"/>
      <c r="I6" s="286"/>
      <c r="J6" s="288"/>
      <c r="K6" s="286"/>
      <c r="L6" s="288"/>
      <c r="M6" s="286"/>
      <c r="N6" s="373" t="s">
        <v>45</v>
      </c>
      <c r="O6" s="374"/>
      <c r="P6" s="376" t="s">
        <v>157</v>
      </c>
      <c r="Q6" s="377"/>
      <c r="R6" s="377"/>
      <c r="S6" s="377"/>
      <c r="T6" s="377"/>
      <c r="U6" s="378"/>
      <c r="V6" s="288"/>
      <c r="W6" s="286"/>
      <c r="X6" s="288"/>
      <c r="Y6" s="286"/>
      <c r="Z6" s="286"/>
      <c r="AA6" s="292"/>
      <c r="AD6" s="307" t="s">
        <v>49</v>
      </c>
      <c r="AE6" s="307"/>
      <c r="AF6" s="40"/>
      <c r="AG6" s="40"/>
      <c r="AH6" s="307" t="s">
        <v>12</v>
      </c>
      <c r="AI6" s="307"/>
      <c r="AJ6" s="40"/>
      <c r="AK6" s="307" t="s">
        <v>50</v>
      </c>
      <c r="AL6" s="307"/>
      <c r="AN6" s="307" t="s">
        <v>58</v>
      </c>
      <c r="AO6" s="307"/>
    </row>
    <row r="7" spans="2:41" s="2" customFormat="1" ht="21.95" customHeight="1" thickBot="1">
      <c r="B7" s="387"/>
      <c r="C7" s="287"/>
      <c r="D7" s="369"/>
      <c r="E7" s="370"/>
      <c r="F7" s="317"/>
      <c r="G7" s="271"/>
      <c r="H7" s="287"/>
      <c r="I7" s="287"/>
      <c r="J7" s="287"/>
      <c r="K7" s="287"/>
      <c r="L7" s="287"/>
      <c r="M7" s="287"/>
      <c r="N7" s="276"/>
      <c r="O7" s="375"/>
      <c r="P7" s="271" t="s">
        <v>10</v>
      </c>
      <c r="Q7" s="320"/>
      <c r="R7" s="364" t="s">
        <v>11</v>
      </c>
      <c r="S7" s="365"/>
      <c r="T7" s="271" t="s">
        <v>3</v>
      </c>
      <c r="U7" s="320"/>
      <c r="V7" s="287"/>
      <c r="W7" s="287"/>
      <c r="X7" s="287"/>
      <c r="Y7" s="287"/>
      <c r="Z7" s="287"/>
      <c r="AA7" s="293"/>
      <c r="AD7" s="40" t="s">
        <v>4</v>
      </c>
      <c r="AE7" s="40" t="s">
        <v>16</v>
      </c>
      <c r="AF7" s="40"/>
      <c r="AG7" s="40"/>
      <c r="AH7" s="40" t="s">
        <v>4</v>
      </c>
      <c r="AI7" s="40" t="s">
        <v>16</v>
      </c>
      <c r="AJ7" s="40"/>
      <c r="AK7" s="40" t="s">
        <v>4</v>
      </c>
      <c r="AL7" s="40" t="s">
        <v>16</v>
      </c>
      <c r="AN7" s="72" t="s">
        <v>56</v>
      </c>
      <c r="AO7" s="2" t="s">
        <v>54</v>
      </c>
    </row>
    <row r="8" spans="2:41" s="2" customFormat="1" ht="21.95" customHeight="1">
      <c r="B8" s="257"/>
      <c r="C8" s="363"/>
      <c r="D8" s="311"/>
      <c r="E8" s="312"/>
      <c r="F8" s="312"/>
      <c r="G8" s="313"/>
      <c r="H8" s="263"/>
      <c r="I8" s="263"/>
      <c r="J8" s="263"/>
      <c r="K8" s="263"/>
      <c r="L8" s="335"/>
      <c r="M8" s="335"/>
      <c r="N8" s="355"/>
      <c r="O8" s="356"/>
      <c r="P8" s="357"/>
      <c r="Q8" s="358"/>
      <c r="R8" s="359"/>
      <c r="S8" s="360"/>
      <c r="T8" s="361"/>
      <c r="U8" s="357"/>
      <c r="V8" s="362" t="str">
        <f>IF(D8="","",AD8)</f>
        <v/>
      </c>
      <c r="W8" s="362"/>
      <c r="X8" s="362" t="str">
        <f>IF(D8="","",IF(ISERROR(AE8),"-",AE8))</f>
        <v/>
      </c>
      <c r="Y8" s="362"/>
      <c r="Z8" s="362" t="str">
        <f>IF(D8="","",D8*F8*AN8)</f>
        <v/>
      </c>
      <c r="AA8" s="389"/>
      <c r="AD8" s="2" t="e">
        <f>D8*F8*J8*$V$4*AH8</f>
        <v>#VALUE!</v>
      </c>
      <c r="AE8" s="2" t="e">
        <f>D8*F8*J8*$X$4*AI8</f>
        <v>#VALUE!</v>
      </c>
      <c r="AG8" s="49"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0">IF(L8="","FALSE",IF(L8="雨戸",0.1,IF(L8="ｼｬｯﾀｰ",0.1,IF(L8="障子",0.18,IF(L8="風除室",0.1)))))</f>
        <v>FALSE</v>
      </c>
    </row>
    <row r="9" spans="2:41" s="2" customFormat="1" ht="21.95" customHeight="1">
      <c r="B9" s="248"/>
      <c r="C9" s="349"/>
      <c r="D9" s="350"/>
      <c r="E9" s="351"/>
      <c r="F9" s="351"/>
      <c r="G9" s="352"/>
      <c r="H9" s="254"/>
      <c r="I9" s="254"/>
      <c r="J9" s="254"/>
      <c r="K9" s="254"/>
      <c r="L9" s="301"/>
      <c r="M9" s="301"/>
      <c r="N9" s="341"/>
      <c r="O9" s="342"/>
      <c r="P9" s="343"/>
      <c r="Q9" s="344"/>
      <c r="R9" s="345"/>
      <c r="S9" s="346"/>
      <c r="T9" s="347"/>
      <c r="U9" s="343"/>
      <c r="V9" s="235" t="str">
        <f t="shared" ref="V9:V19" si="1">IF(D9="","",AD9)</f>
        <v/>
      </c>
      <c r="W9" s="235"/>
      <c r="X9" s="235" t="str">
        <f t="shared" ref="X9:X19" si="2">IF(D9="","",IF(ISERROR(AE9),"-",AE9))</f>
        <v/>
      </c>
      <c r="Y9" s="235"/>
      <c r="Z9" s="235" t="str">
        <f t="shared" ref="Z9:Z19" si="3">IF(D9="","",D9*F9*AN9)</f>
        <v/>
      </c>
      <c r="AA9" s="236"/>
      <c r="AD9" s="2" t="e">
        <f t="shared" ref="AD9:AD19" si="4">D9*F9*J9*$V$4*AH9</f>
        <v>#VALUE!</v>
      </c>
      <c r="AE9" s="2" t="e">
        <f t="shared" ref="AE9:AE19" si="5">D9*F9*J9*$X$4*AI9</f>
        <v>#VALUE!</v>
      </c>
      <c r="AG9" s="49"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0"/>
        <v>FALSE</v>
      </c>
    </row>
    <row r="10" spans="2:41" s="2" customFormat="1" ht="21.95" customHeight="1">
      <c r="B10" s="248"/>
      <c r="C10" s="349"/>
      <c r="D10" s="350"/>
      <c r="E10" s="351"/>
      <c r="F10" s="351"/>
      <c r="G10" s="352"/>
      <c r="H10" s="254"/>
      <c r="I10" s="254"/>
      <c r="J10" s="254"/>
      <c r="K10" s="254"/>
      <c r="L10" s="301"/>
      <c r="M10" s="301"/>
      <c r="N10" s="341"/>
      <c r="O10" s="342"/>
      <c r="P10" s="344"/>
      <c r="Q10" s="353"/>
      <c r="R10" s="348"/>
      <c r="S10" s="353"/>
      <c r="T10" s="348"/>
      <c r="U10" s="347"/>
      <c r="V10" s="235" t="str">
        <f t="shared" si="1"/>
        <v/>
      </c>
      <c r="W10" s="235"/>
      <c r="X10" s="235" t="str">
        <f t="shared" si="2"/>
        <v/>
      </c>
      <c r="Y10" s="235"/>
      <c r="Z10" s="235" t="str">
        <f t="shared" si="3"/>
        <v/>
      </c>
      <c r="AA10" s="236"/>
      <c r="AD10" s="2" t="e">
        <f t="shared" si="4"/>
        <v>#VALUE!</v>
      </c>
      <c r="AE10" s="2" t="e">
        <f t="shared" si="5"/>
        <v>#VALUE!</v>
      </c>
      <c r="AG10" s="49" t="b">
        <v>0</v>
      </c>
      <c r="AH10" s="2" t="str">
        <f t="shared" si="6"/>
        <v>エラー</v>
      </c>
      <c r="AI10" s="2" t="str">
        <f t="shared" si="7"/>
        <v>エラー</v>
      </c>
      <c r="AK10" s="2" t="e">
        <f t="shared" si="8"/>
        <v>#DIV/0!</v>
      </c>
      <c r="AL10" s="2" t="e">
        <f t="shared" si="9"/>
        <v>#DIV/0!</v>
      </c>
      <c r="AN10" s="2">
        <f t="shared" si="10"/>
        <v>0</v>
      </c>
      <c r="AO10" s="40" t="str">
        <f t="shared" si="0"/>
        <v>FALSE</v>
      </c>
    </row>
    <row r="11" spans="2:41" s="2" customFormat="1" ht="21.95" customHeight="1">
      <c r="B11" s="248"/>
      <c r="C11" s="349"/>
      <c r="D11" s="350"/>
      <c r="E11" s="351"/>
      <c r="F11" s="351"/>
      <c r="G11" s="352"/>
      <c r="H11" s="254"/>
      <c r="I11" s="254"/>
      <c r="J11" s="254"/>
      <c r="K11" s="254"/>
      <c r="L11" s="301"/>
      <c r="M11" s="301"/>
      <c r="N11" s="341"/>
      <c r="O11" s="342"/>
      <c r="P11" s="344"/>
      <c r="Q11" s="353"/>
      <c r="R11" s="348"/>
      <c r="S11" s="353"/>
      <c r="T11" s="348"/>
      <c r="U11" s="347"/>
      <c r="V11" s="235" t="str">
        <f t="shared" si="1"/>
        <v/>
      </c>
      <c r="W11" s="235"/>
      <c r="X11" s="235" t="str">
        <f t="shared" si="2"/>
        <v/>
      </c>
      <c r="Y11" s="235"/>
      <c r="Z11" s="235" t="str">
        <f t="shared" si="3"/>
        <v/>
      </c>
      <c r="AA11" s="236"/>
      <c r="AD11" s="2" t="e">
        <f t="shared" si="4"/>
        <v>#VALUE!</v>
      </c>
      <c r="AE11" s="2" t="e">
        <f t="shared" si="5"/>
        <v>#VALUE!</v>
      </c>
      <c r="AG11" s="49" t="b">
        <v>0</v>
      </c>
      <c r="AH11" s="2" t="str">
        <f t="shared" si="6"/>
        <v>エラー</v>
      </c>
      <c r="AI11" s="2" t="str">
        <f t="shared" si="7"/>
        <v>エラー</v>
      </c>
      <c r="AK11" s="2" t="e">
        <f t="shared" si="8"/>
        <v>#DIV/0!</v>
      </c>
      <c r="AL11" s="2" t="e">
        <f t="shared" si="9"/>
        <v>#DIV/0!</v>
      </c>
      <c r="AN11" s="2">
        <f t="shared" si="10"/>
        <v>0</v>
      </c>
      <c r="AO11" s="40" t="str">
        <f t="shared" si="0"/>
        <v>FALSE</v>
      </c>
    </row>
    <row r="12" spans="2:41" s="2" customFormat="1" ht="21.95" customHeight="1">
      <c r="B12" s="248"/>
      <c r="C12" s="249"/>
      <c r="D12" s="250"/>
      <c r="E12" s="305"/>
      <c r="F12" s="306"/>
      <c r="G12" s="251"/>
      <c r="H12" s="250"/>
      <c r="I12" s="251"/>
      <c r="J12" s="250"/>
      <c r="K12" s="251"/>
      <c r="L12" s="315"/>
      <c r="M12" s="316"/>
      <c r="N12" s="341"/>
      <c r="O12" s="354"/>
      <c r="P12" s="344"/>
      <c r="Q12" s="353"/>
      <c r="R12" s="348"/>
      <c r="S12" s="353"/>
      <c r="T12" s="348"/>
      <c r="U12" s="347"/>
      <c r="V12" s="233" t="str">
        <f t="shared" si="1"/>
        <v/>
      </c>
      <c r="W12" s="234"/>
      <c r="X12" s="233" t="str">
        <f t="shared" si="2"/>
        <v/>
      </c>
      <c r="Y12" s="234"/>
      <c r="Z12" s="233" t="str">
        <f t="shared" si="3"/>
        <v/>
      </c>
      <c r="AA12" s="256"/>
      <c r="AD12" s="2" t="e">
        <f t="shared" si="4"/>
        <v>#VALUE!</v>
      </c>
      <c r="AE12" s="2" t="e">
        <f t="shared" si="5"/>
        <v>#VALUE!</v>
      </c>
      <c r="AG12" s="49" t="b">
        <v>0</v>
      </c>
      <c r="AH12" s="2" t="str">
        <f t="shared" si="6"/>
        <v>エラー</v>
      </c>
      <c r="AI12" s="2" t="str">
        <f t="shared" si="7"/>
        <v>エラー</v>
      </c>
      <c r="AK12" s="2" t="e">
        <f t="shared" si="8"/>
        <v>#DIV/0!</v>
      </c>
      <c r="AL12" s="2" t="e">
        <f t="shared" si="9"/>
        <v>#DIV/0!</v>
      </c>
      <c r="AN12" s="2">
        <f t="shared" si="10"/>
        <v>0</v>
      </c>
      <c r="AO12" s="40" t="str">
        <f t="shared" si="0"/>
        <v>FALSE</v>
      </c>
    </row>
    <row r="13" spans="2:41" s="2" customFormat="1" ht="21.95" customHeight="1">
      <c r="B13" s="248"/>
      <c r="C13" s="249"/>
      <c r="D13" s="250"/>
      <c r="E13" s="305"/>
      <c r="F13" s="306"/>
      <c r="G13" s="251"/>
      <c r="H13" s="250"/>
      <c r="I13" s="251"/>
      <c r="J13" s="250"/>
      <c r="K13" s="251"/>
      <c r="L13" s="315"/>
      <c r="M13" s="316"/>
      <c r="N13" s="341"/>
      <c r="O13" s="354"/>
      <c r="P13" s="344"/>
      <c r="Q13" s="353"/>
      <c r="R13" s="348"/>
      <c r="S13" s="353"/>
      <c r="T13" s="348"/>
      <c r="U13" s="347"/>
      <c r="V13" s="233" t="str">
        <f t="shared" si="1"/>
        <v/>
      </c>
      <c r="W13" s="234"/>
      <c r="X13" s="233" t="str">
        <f t="shared" si="2"/>
        <v/>
      </c>
      <c r="Y13" s="234"/>
      <c r="Z13" s="233" t="str">
        <f t="shared" si="3"/>
        <v/>
      </c>
      <c r="AA13" s="256"/>
      <c r="AD13" s="2" t="e">
        <f t="shared" si="4"/>
        <v>#VALUE!</v>
      </c>
      <c r="AE13" s="2" t="e">
        <f t="shared" si="5"/>
        <v>#VALUE!</v>
      </c>
      <c r="AG13" s="49" t="b">
        <v>0</v>
      </c>
      <c r="AH13" s="2" t="str">
        <f t="shared" si="6"/>
        <v>エラー</v>
      </c>
      <c r="AI13" s="2" t="str">
        <f t="shared" si="7"/>
        <v>エラー</v>
      </c>
      <c r="AK13" s="2" t="e">
        <f t="shared" si="8"/>
        <v>#DIV/0!</v>
      </c>
      <c r="AL13" s="2" t="e">
        <f t="shared" si="9"/>
        <v>#DIV/0!</v>
      </c>
      <c r="AN13" s="2">
        <f t="shared" si="10"/>
        <v>0</v>
      </c>
      <c r="AO13" s="40" t="str">
        <f t="shared" si="0"/>
        <v>FALSE</v>
      </c>
    </row>
    <row r="14" spans="2:41" s="2" customFormat="1" ht="21.95" customHeight="1">
      <c r="B14" s="248"/>
      <c r="C14" s="349"/>
      <c r="D14" s="350"/>
      <c r="E14" s="351"/>
      <c r="F14" s="351"/>
      <c r="G14" s="352"/>
      <c r="H14" s="254"/>
      <c r="I14" s="254"/>
      <c r="J14" s="254"/>
      <c r="K14" s="254"/>
      <c r="L14" s="301"/>
      <c r="M14" s="301"/>
      <c r="N14" s="341"/>
      <c r="O14" s="342"/>
      <c r="P14" s="344"/>
      <c r="Q14" s="353"/>
      <c r="R14" s="348"/>
      <c r="S14" s="353"/>
      <c r="T14" s="348"/>
      <c r="U14" s="347"/>
      <c r="V14" s="235" t="str">
        <f t="shared" si="1"/>
        <v/>
      </c>
      <c r="W14" s="235"/>
      <c r="X14" s="235" t="str">
        <f t="shared" si="2"/>
        <v/>
      </c>
      <c r="Y14" s="235"/>
      <c r="Z14" s="235" t="str">
        <f t="shared" si="3"/>
        <v/>
      </c>
      <c r="AA14" s="236"/>
      <c r="AD14" s="2" t="e">
        <f t="shared" si="4"/>
        <v>#VALUE!</v>
      </c>
      <c r="AE14" s="2" t="e">
        <f t="shared" si="5"/>
        <v>#VALUE!</v>
      </c>
      <c r="AG14" s="49" t="b">
        <v>0</v>
      </c>
      <c r="AH14" s="2" t="str">
        <f t="shared" si="6"/>
        <v>エラー</v>
      </c>
      <c r="AI14" s="2" t="str">
        <f t="shared" si="7"/>
        <v>エラー</v>
      </c>
      <c r="AK14" s="2" t="e">
        <f t="shared" si="8"/>
        <v>#DIV/0!</v>
      </c>
      <c r="AL14" s="2" t="e">
        <f t="shared" si="9"/>
        <v>#DIV/0!</v>
      </c>
      <c r="AN14" s="2">
        <f t="shared" si="10"/>
        <v>0</v>
      </c>
      <c r="AO14" s="40" t="str">
        <f t="shared" si="0"/>
        <v>FALSE</v>
      </c>
    </row>
    <row r="15" spans="2:41" s="2" customFormat="1" ht="21.95" customHeight="1">
      <c r="B15" s="248"/>
      <c r="C15" s="349"/>
      <c r="D15" s="350"/>
      <c r="E15" s="351"/>
      <c r="F15" s="351"/>
      <c r="G15" s="352"/>
      <c r="H15" s="254"/>
      <c r="I15" s="254"/>
      <c r="J15" s="254"/>
      <c r="K15" s="254"/>
      <c r="L15" s="301"/>
      <c r="M15" s="301"/>
      <c r="N15" s="341"/>
      <c r="O15" s="342"/>
      <c r="P15" s="344"/>
      <c r="Q15" s="353"/>
      <c r="R15" s="348"/>
      <c r="S15" s="353"/>
      <c r="T15" s="348"/>
      <c r="U15" s="347"/>
      <c r="V15" s="233" t="str">
        <f t="shared" si="1"/>
        <v/>
      </c>
      <c r="W15" s="234"/>
      <c r="X15" s="235" t="str">
        <f t="shared" si="2"/>
        <v/>
      </c>
      <c r="Y15" s="235"/>
      <c r="Z15" s="235" t="str">
        <f t="shared" si="3"/>
        <v/>
      </c>
      <c r="AA15" s="236"/>
      <c r="AD15" s="2" t="e">
        <f t="shared" si="4"/>
        <v>#VALUE!</v>
      </c>
      <c r="AE15" s="2" t="e">
        <f t="shared" si="5"/>
        <v>#VALUE!</v>
      </c>
      <c r="AG15" s="49" t="b">
        <v>0</v>
      </c>
      <c r="AH15" s="2" t="str">
        <f t="shared" si="6"/>
        <v>エラー</v>
      </c>
      <c r="AI15" s="2" t="str">
        <f t="shared" si="7"/>
        <v>エラー</v>
      </c>
      <c r="AK15" s="2" t="e">
        <f t="shared" si="8"/>
        <v>#DIV/0!</v>
      </c>
      <c r="AL15" s="2" t="e">
        <f t="shared" si="9"/>
        <v>#DIV/0!</v>
      </c>
      <c r="AN15" s="2">
        <f t="shared" si="10"/>
        <v>0</v>
      </c>
      <c r="AO15" s="40" t="str">
        <f t="shared" si="0"/>
        <v>FALSE</v>
      </c>
    </row>
    <row r="16" spans="2:41" s="2" customFormat="1" ht="21.95" customHeight="1">
      <c r="B16" s="248"/>
      <c r="C16" s="349"/>
      <c r="D16" s="350"/>
      <c r="E16" s="351"/>
      <c r="F16" s="351"/>
      <c r="G16" s="352"/>
      <c r="H16" s="254"/>
      <c r="I16" s="254"/>
      <c r="J16" s="254"/>
      <c r="K16" s="254"/>
      <c r="L16" s="301"/>
      <c r="M16" s="301"/>
      <c r="N16" s="341"/>
      <c r="O16" s="342"/>
      <c r="P16" s="344"/>
      <c r="Q16" s="353"/>
      <c r="R16" s="348"/>
      <c r="S16" s="353"/>
      <c r="T16" s="348"/>
      <c r="U16" s="347"/>
      <c r="V16" s="233" t="str">
        <f t="shared" si="1"/>
        <v/>
      </c>
      <c r="W16" s="234"/>
      <c r="X16" s="235" t="str">
        <f t="shared" si="2"/>
        <v/>
      </c>
      <c r="Y16" s="235"/>
      <c r="Z16" s="235" t="str">
        <f t="shared" si="3"/>
        <v/>
      </c>
      <c r="AA16" s="236"/>
      <c r="AD16" s="2" t="e">
        <f t="shared" si="4"/>
        <v>#VALUE!</v>
      </c>
      <c r="AE16" s="2" t="e">
        <f t="shared" si="5"/>
        <v>#VALUE!</v>
      </c>
      <c r="AG16" s="49" t="b">
        <v>0</v>
      </c>
      <c r="AH16" s="2" t="str">
        <f t="shared" si="6"/>
        <v>エラー</v>
      </c>
      <c r="AI16" s="2" t="str">
        <f t="shared" si="7"/>
        <v>エラー</v>
      </c>
      <c r="AK16" s="2" t="e">
        <f t="shared" si="8"/>
        <v>#DIV/0!</v>
      </c>
      <c r="AL16" s="2" t="e">
        <f t="shared" si="9"/>
        <v>#DIV/0!</v>
      </c>
      <c r="AN16" s="2">
        <f t="shared" si="10"/>
        <v>0</v>
      </c>
      <c r="AO16" s="40" t="str">
        <f t="shared" si="0"/>
        <v>FALSE</v>
      </c>
    </row>
    <row r="17" spans="2:41" s="2" customFormat="1" ht="21.95" customHeight="1">
      <c r="B17" s="248"/>
      <c r="C17" s="349"/>
      <c r="D17" s="350"/>
      <c r="E17" s="351"/>
      <c r="F17" s="351"/>
      <c r="G17" s="352"/>
      <c r="H17" s="254"/>
      <c r="I17" s="254"/>
      <c r="J17" s="254"/>
      <c r="K17" s="254"/>
      <c r="L17" s="301"/>
      <c r="M17" s="301"/>
      <c r="N17" s="341"/>
      <c r="O17" s="342"/>
      <c r="P17" s="343"/>
      <c r="Q17" s="344"/>
      <c r="R17" s="348"/>
      <c r="S17" s="353"/>
      <c r="T17" s="348"/>
      <c r="U17" s="347"/>
      <c r="V17" s="233" t="str">
        <f t="shared" si="1"/>
        <v/>
      </c>
      <c r="W17" s="234"/>
      <c r="X17" s="235" t="str">
        <f t="shared" si="2"/>
        <v/>
      </c>
      <c r="Y17" s="235"/>
      <c r="Z17" s="235" t="str">
        <f t="shared" si="3"/>
        <v/>
      </c>
      <c r="AA17" s="236"/>
      <c r="AD17" s="2" t="e">
        <f t="shared" si="4"/>
        <v>#VALUE!</v>
      </c>
      <c r="AE17" s="2" t="e">
        <f t="shared" si="5"/>
        <v>#VALUE!</v>
      </c>
      <c r="AG17" s="49" t="b">
        <v>0</v>
      </c>
      <c r="AH17" s="2" t="str">
        <f t="shared" si="6"/>
        <v>エラー</v>
      </c>
      <c r="AI17" s="2" t="str">
        <f t="shared" si="7"/>
        <v>エラー</v>
      </c>
      <c r="AK17" s="2" t="e">
        <f t="shared" si="8"/>
        <v>#DIV/0!</v>
      </c>
      <c r="AL17" s="2" t="e">
        <f t="shared" si="9"/>
        <v>#DIV/0!</v>
      </c>
      <c r="AN17" s="2">
        <f t="shared" si="10"/>
        <v>0</v>
      </c>
      <c r="AO17" s="40" t="str">
        <f t="shared" si="0"/>
        <v>FALSE</v>
      </c>
    </row>
    <row r="18" spans="2:41" s="2" customFormat="1" ht="21.95" customHeight="1">
      <c r="B18" s="248"/>
      <c r="C18" s="349"/>
      <c r="D18" s="350"/>
      <c r="E18" s="351"/>
      <c r="F18" s="351"/>
      <c r="G18" s="352"/>
      <c r="H18" s="254"/>
      <c r="I18" s="254"/>
      <c r="J18" s="254"/>
      <c r="K18" s="254"/>
      <c r="L18" s="301"/>
      <c r="M18" s="301"/>
      <c r="N18" s="341"/>
      <c r="O18" s="342"/>
      <c r="P18" s="343"/>
      <c r="Q18" s="344"/>
      <c r="R18" s="345"/>
      <c r="S18" s="346"/>
      <c r="T18" s="347"/>
      <c r="U18" s="343"/>
      <c r="V18" s="233" t="str">
        <f t="shared" si="1"/>
        <v/>
      </c>
      <c r="W18" s="234"/>
      <c r="X18" s="235" t="str">
        <f t="shared" si="2"/>
        <v/>
      </c>
      <c r="Y18" s="235"/>
      <c r="Z18" s="235" t="str">
        <f>IF(D18="","",D18*F18*AN18)</f>
        <v/>
      </c>
      <c r="AA18" s="236"/>
      <c r="AD18" s="2" t="e">
        <f t="shared" si="4"/>
        <v>#VALUE!</v>
      </c>
      <c r="AE18" s="2" t="e">
        <f t="shared" si="5"/>
        <v>#VALUE!</v>
      </c>
      <c r="AG18" s="49" t="b">
        <v>0</v>
      </c>
      <c r="AH18" s="2" t="str">
        <f t="shared" si="6"/>
        <v>エラー</v>
      </c>
      <c r="AI18" s="2" t="str">
        <f t="shared" si="7"/>
        <v>エラー</v>
      </c>
      <c r="AK18" s="2" t="e">
        <f t="shared" si="8"/>
        <v>#DIV/0!</v>
      </c>
      <c r="AL18" s="2" t="e">
        <f t="shared" si="9"/>
        <v>#DIV/0!</v>
      </c>
      <c r="AN18" s="2">
        <f t="shared" si="10"/>
        <v>0</v>
      </c>
      <c r="AO18" s="40" t="str">
        <f t="shared" si="0"/>
        <v>FALSE</v>
      </c>
    </row>
    <row r="19" spans="2:41" s="2" customFormat="1" ht="21.95" customHeight="1" thickBot="1">
      <c r="B19" s="237"/>
      <c r="C19" s="334"/>
      <c r="D19" s="297"/>
      <c r="E19" s="298"/>
      <c r="F19" s="298"/>
      <c r="G19" s="299"/>
      <c r="H19" s="300"/>
      <c r="I19" s="300"/>
      <c r="J19" s="300"/>
      <c r="K19" s="300"/>
      <c r="L19" s="335"/>
      <c r="M19" s="335"/>
      <c r="N19" s="336"/>
      <c r="O19" s="337"/>
      <c r="P19" s="333"/>
      <c r="Q19" s="338"/>
      <c r="R19" s="339"/>
      <c r="S19" s="340"/>
      <c r="T19" s="332"/>
      <c r="U19" s="333"/>
      <c r="V19" s="233" t="str">
        <f t="shared" si="1"/>
        <v/>
      </c>
      <c r="W19" s="234"/>
      <c r="X19" s="235" t="str">
        <f t="shared" si="2"/>
        <v/>
      </c>
      <c r="Y19" s="235"/>
      <c r="Z19" s="244" t="str">
        <f t="shared" si="3"/>
        <v/>
      </c>
      <c r="AA19" s="247"/>
      <c r="AD19" s="2" t="e">
        <f t="shared" si="4"/>
        <v>#VALUE!</v>
      </c>
      <c r="AE19" s="2" t="e">
        <f t="shared" si="5"/>
        <v>#VALUE!</v>
      </c>
      <c r="AG19" s="49" t="b">
        <v>0</v>
      </c>
      <c r="AH19" s="2" t="str">
        <f t="shared" si="6"/>
        <v>エラー</v>
      </c>
      <c r="AI19" s="2" t="str">
        <f t="shared" si="7"/>
        <v>エラー</v>
      </c>
      <c r="AK19" s="2" t="e">
        <f t="shared" si="8"/>
        <v>#DIV/0!</v>
      </c>
      <c r="AL19" s="2" t="e">
        <f t="shared" si="9"/>
        <v>#DIV/0!</v>
      </c>
      <c r="AN19" s="2">
        <f t="shared" si="10"/>
        <v>0</v>
      </c>
      <c r="AO19" s="40" t="str">
        <f t="shared" si="0"/>
        <v>FALSE</v>
      </c>
    </row>
    <row r="20" spans="2:41" s="2" customFormat="1" ht="21.95" customHeight="1" thickBot="1">
      <c r="B20" s="218" t="s">
        <v>187</v>
      </c>
      <c r="C20" s="219"/>
      <c r="D20" s="219"/>
      <c r="E20" s="219"/>
      <c r="F20" s="219"/>
      <c r="G20" s="219"/>
      <c r="H20" s="219"/>
      <c r="I20" s="219"/>
      <c r="J20" s="219"/>
      <c r="K20" s="219"/>
      <c r="L20" s="219"/>
      <c r="M20" s="219"/>
      <c r="N20" s="219"/>
      <c r="O20" s="219"/>
      <c r="P20" s="219"/>
      <c r="Q20" s="219"/>
      <c r="R20" s="219"/>
      <c r="S20" s="219"/>
      <c r="T20" s="219"/>
      <c r="U20" s="219"/>
      <c r="V20" s="220">
        <f>SUM(V8:W19)</f>
        <v>0</v>
      </c>
      <c r="W20" s="220"/>
      <c r="X20" s="220">
        <f>IF(共通条件・結果!AA7="８地域","-",SUM(X8:Y19))</f>
        <v>0</v>
      </c>
      <c r="Y20" s="220"/>
      <c r="Z20" s="220">
        <f>SUM(Z8:AA19)</f>
        <v>0</v>
      </c>
      <c r="AA20" s="221"/>
    </row>
    <row r="21" spans="2:41" s="2" customFormat="1" ht="9.9499999999999993" customHeight="1">
      <c r="AN21" s="307"/>
      <c r="AO21" s="307"/>
    </row>
    <row r="22" spans="2:41" s="2" customFormat="1" ht="21.95" customHeight="1" thickBot="1">
      <c r="E22" s="4"/>
      <c r="J22" s="4" t="s">
        <v>13</v>
      </c>
    </row>
    <row r="23" spans="2:41" s="2" customFormat="1" ht="21.95" customHeight="1">
      <c r="J23" s="266" t="s">
        <v>14</v>
      </c>
      <c r="K23" s="183"/>
      <c r="L23" s="183"/>
      <c r="M23" s="267"/>
      <c r="N23" s="322" t="s">
        <v>153</v>
      </c>
      <c r="O23" s="183"/>
      <c r="P23" s="183"/>
      <c r="Q23" s="267"/>
      <c r="R23" s="284" t="s">
        <v>154</v>
      </c>
      <c r="S23" s="285"/>
      <c r="T23" s="324" t="s">
        <v>9</v>
      </c>
      <c r="U23" s="325"/>
      <c r="V23" s="272" t="s">
        <v>158</v>
      </c>
      <c r="W23" s="273"/>
      <c r="X23" s="272" t="s">
        <v>156</v>
      </c>
      <c r="Y23" s="273"/>
      <c r="Z23" s="272" t="s">
        <v>123</v>
      </c>
      <c r="AA23" s="184"/>
      <c r="AN23" s="307" t="s">
        <v>58</v>
      </c>
      <c r="AO23" s="307"/>
    </row>
    <row r="24" spans="2:41" s="2" customFormat="1" ht="21.95" customHeight="1">
      <c r="J24" s="268"/>
      <c r="K24" s="307"/>
      <c r="L24" s="307"/>
      <c r="M24" s="269"/>
      <c r="N24" s="195"/>
      <c r="O24" s="196"/>
      <c r="P24" s="196"/>
      <c r="Q24" s="323"/>
      <c r="R24" s="288"/>
      <c r="S24" s="286"/>
      <c r="T24" s="326"/>
      <c r="U24" s="327"/>
      <c r="V24" s="274"/>
      <c r="W24" s="275"/>
      <c r="X24" s="274"/>
      <c r="Y24" s="275"/>
      <c r="Z24" s="318"/>
      <c r="AA24" s="319"/>
      <c r="AN24" s="40"/>
      <c r="AO24" s="40"/>
    </row>
    <row r="25" spans="2:41" s="2" customFormat="1" ht="21.95" customHeight="1" thickBot="1">
      <c r="J25" s="270"/>
      <c r="K25" s="317"/>
      <c r="L25" s="317"/>
      <c r="M25" s="271"/>
      <c r="N25" s="329" t="s">
        <v>8</v>
      </c>
      <c r="O25" s="330"/>
      <c r="P25" s="331" t="s">
        <v>7</v>
      </c>
      <c r="Q25" s="287"/>
      <c r="R25" s="287"/>
      <c r="S25" s="287"/>
      <c r="T25" s="328"/>
      <c r="U25" s="328"/>
      <c r="V25" s="276"/>
      <c r="W25" s="277"/>
      <c r="X25" s="276"/>
      <c r="Y25" s="277"/>
      <c r="Z25" s="320"/>
      <c r="AA25" s="321"/>
      <c r="AN25" s="72" t="s">
        <v>56</v>
      </c>
      <c r="AO25" s="2" t="s">
        <v>54</v>
      </c>
    </row>
    <row r="26" spans="2:41" s="2" customFormat="1" ht="21.95" customHeight="1">
      <c r="D26" s="89"/>
      <c r="E26" s="89"/>
      <c r="J26" s="308"/>
      <c r="K26" s="309"/>
      <c r="L26" s="309"/>
      <c r="M26" s="310"/>
      <c r="N26" s="311"/>
      <c r="O26" s="312"/>
      <c r="P26" s="312"/>
      <c r="Q26" s="313"/>
      <c r="R26" s="263"/>
      <c r="S26" s="263"/>
      <c r="T26" s="314"/>
      <c r="U26" s="314"/>
      <c r="V26" s="264" t="str">
        <f>IF(N26="","",N26*P26*R26*0.034*$V$4)</f>
        <v/>
      </c>
      <c r="W26" s="264"/>
      <c r="X26" s="264" t="str">
        <f>IF(N26="","",IF(ISERROR(N26*P26*R26*0.034*$X$4),"-",N26*P26*R26*0.034*$X$4))</f>
        <v/>
      </c>
      <c r="Y26" s="264"/>
      <c r="Z26" s="264" t="str">
        <f>IF(N26="","",N26*P26*AN26)</f>
        <v/>
      </c>
      <c r="AA26" s="265"/>
      <c r="AD26" s="49"/>
      <c r="AN26" s="2">
        <f>IF(AO26="FALSE",R26,IF(T26="風除室",1/((1/R26)+0.1),0.5*R26+0.5*(1/((1/R26)+AO26))))</f>
        <v>0</v>
      </c>
      <c r="AO26" s="40" t="str">
        <f>IF(T26="","FALSE",IF(T26="雨戸",0.1,IF(T26="ｼｬｯﾀｰ",0.1,IF(T26="障子",0.18,IF(T26="風除室",0.1)))))</f>
        <v>FALSE</v>
      </c>
    </row>
    <row r="27" spans="2:41" s="2" customFormat="1" ht="21.95" customHeight="1">
      <c r="D27" s="89"/>
      <c r="E27" s="89"/>
      <c r="J27" s="302"/>
      <c r="K27" s="303"/>
      <c r="L27" s="303"/>
      <c r="M27" s="304"/>
      <c r="N27" s="250"/>
      <c r="O27" s="305"/>
      <c r="P27" s="306"/>
      <c r="Q27" s="251"/>
      <c r="R27" s="250"/>
      <c r="S27" s="251"/>
      <c r="T27" s="315"/>
      <c r="U27" s="316"/>
      <c r="V27" s="233" t="str">
        <f>IF(N27="","",N27*P27*R27*0.034*$V$4)</f>
        <v/>
      </c>
      <c r="W27" s="234"/>
      <c r="X27" s="233" t="str">
        <f>IF(N27="","",IF(ISERROR(N27*P27*R27*0.034*$X$4),"-",N27*P27*R27*0.034*$X$4))</f>
        <v/>
      </c>
      <c r="Y27" s="234"/>
      <c r="Z27" s="233" t="str">
        <f>IF(N27="","",N27*P27*AN27)</f>
        <v/>
      </c>
      <c r="AA27" s="256"/>
      <c r="AD27" s="49"/>
      <c r="AN27" s="2">
        <f>IF(AO27="FALSE",R27,IF(T27="風除室",1/((1/R27)+0.1),0.5*R27+0.5*(1/((1/R27)+AO27))))</f>
        <v>0</v>
      </c>
      <c r="AO27" s="40" t="str">
        <f>IF(T27="","FALSE",IF(T27="雨戸",0.1,IF(T27="ｼｬｯﾀｰ",0.1,IF(T27="障子",0.18,IF(T27="風除室",0.1)))))</f>
        <v>FALSE</v>
      </c>
    </row>
    <row r="28" spans="2:41" s="2" customFormat="1" ht="21.95" customHeight="1" thickBot="1">
      <c r="D28" s="89"/>
      <c r="E28" s="89"/>
      <c r="J28" s="294"/>
      <c r="K28" s="295"/>
      <c r="L28" s="295"/>
      <c r="M28" s="296"/>
      <c r="N28" s="297"/>
      <c r="O28" s="298"/>
      <c r="P28" s="298"/>
      <c r="Q28" s="299"/>
      <c r="R28" s="300"/>
      <c r="S28" s="300"/>
      <c r="T28" s="301"/>
      <c r="U28" s="301"/>
      <c r="V28" s="289" t="str">
        <f>IF(N28="","",N28*P28*R28*0.034*$V$4)</f>
        <v/>
      </c>
      <c r="W28" s="289"/>
      <c r="X28" s="289" t="str">
        <f>IF(N28="","",IF(ISERROR(N28*P28*R28*0.034*$X$4),"-",N28*P28*R28*0.034*$X$4))</f>
        <v/>
      </c>
      <c r="Y28" s="289"/>
      <c r="Z28" s="289" t="str">
        <f>IF(N28="","",N28*P28*AN28)</f>
        <v/>
      </c>
      <c r="AA28" s="290"/>
      <c r="AD28" s="49"/>
      <c r="AN28" s="2">
        <f>IF(AO28="FALSE",R28,IF(T28="風除室",1/((1/R28)+0.1),0.5*R28+0.5*(1/((1/R28)+AO28))))</f>
        <v>0</v>
      </c>
      <c r="AO28" s="40" t="str">
        <f>IF(T28="","FALSE",IF(T28="雨戸",0.1,IF(T28="ｼｬｯﾀｰ",0.1,IF(T28="障子",0.18,IF(T28="風除室",0.1)))))</f>
        <v>FALSE</v>
      </c>
    </row>
    <row r="29" spans="2:41" s="2" customFormat="1" ht="21.95" customHeight="1" thickBot="1">
      <c r="J29" s="218" t="s">
        <v>275</v>
      </c>
      <c r="K29" s="219"/>
      <c r="L29" s="219"/>
      <c r="M29" s="219"/>
      <c r="N29" s="219"/>
      <c r="O29" s="219"/>
      <c r="P29" s="219"/>
      <c r="Q29" s="219"/>
      <c r="R29" s="219"/>
      <c r="S29" s="219"/>
      <c r="T29" s="219"/>
      <c r="U29" s="366"/>
      <c r="V29" s="220">
        <f>SUM(V26:W28)</f>
        <v>0</v>
      </c>
      <c r="W29" s="220"/>
      <c r="X29" s="220">
        <f>SUM(X26:Y28)</f>
        <v>0</v>
      </c>
      <c r="Y29" s="220"/>
      <c r="Z29" s="220">
        <f>SUM(Z26:AA28)</f>
        <v>0</v>
      </c>
      <c r="AA29" s="221"/>
      <c r="AO29" s="40"/>
    </row>
    <row r="30" spans="2:41" s="2" customFormat="1" ht="9.9499999999999993" customHeight="1">
      <c r="J30" s="26"/>
      <c r="K30" s="26"/>
      <c r="L30" s="26"/>
      <c r="M30" s="26"/>
      <c r="N30" s="26"/>
      <c r="O30" s="26"/>
      <c r="P30" s="26"/>
      <c r="Q30" s="26"/>
      <c r="R30" s="26"/>
      <c r="S30" s="26"/>
      <c r="T30" s="26"/>
      <c r="U30" s="26"/>
      <c r="V30" s="73"/>
      <c r="W30" s="73"/>
      <c r="X30" s="73"/>
      <c r="Y30" s="73"/>
      <c r="Z30" s="73"/>
      <c r="AA30" s="73"/>
      <c r="AO30" s="40"/>
    </row>
    <row r="31" spans="2:41" s="2" customFormat="1" ht="21.95" customHeight="1" thickBot="1">
      <c r="J31" s="4" t="s">
        <v>15</v>
      </c>
      <c r="K31" s="4"/>
      <c r="L31" s="4"/>
      <c r="AO31" s="40"/>
    </row>
    <row r="32" spans="2:41" s="2" customFormat="1" ht="21.95" customHeight="1">
      <c r="J32" s="266" t="s">
        <v>0</v>
      </c>
      <c r="K32" s="267"/>
      <c r="L32" s="272" t="s">
        <v>159</v>
      </c>
      <c r="M32" s="273"/>
      <c r="N32" s="272" t="s">
        <v>160</v>
      </c>
      <c r="O32" s="273"/>
      <c r="P32" s="278" t="s">
        <v>161</v>
      </c>
      <c r="Q32" s="279"/>
      <c r="R32" s="284" t="s">
        <v>154</v>
      </c>
      <c r="S32" s="285"/>
      <c r="T32" s="284" t="s">
        <v>158</v>
      </c>
      <c r="U32" s="285"/>
      <c r="V32" s="284" t="s">
        <v>156</v>
      </c>
      <c r="W32" s="285"/>
      <c r="X32" s="284" t="s">
        <v>123</v>
      </c>
      <c r="Y32" s="291"/>
      <c r="AO32" s="40"/>
    </row>
    <row r="33" spans="2:41" s="2" customFormat="1" ht="21.95" customHeight="1">
      <c r="J33" s="268"/>
      <c r="K33" s="269"/>
      <c r="L33" s="274"/>
      <c r="M33" s="275"/>
      <c r="N33" s="274"/>
      <c r="O33" s="275"/>
      <c r="P33" s="280"/>
      <c r="Q33" s="281"/>
      <c r="R33" s="286"/>
      <c r="S33" s="286"/>
      <c r="T33" s="288"/>
      <c r="U33" s="286"/>
      <c r="V33" s="288"/>
      <c r="W33" s="286"/>
      <c r="X33" s="286"/>
      <c r="Y33" s="292"/>
      <c r="AO33" s="40"/>
    </row>
    <row r="34" spans="2:41" s="2" customFormat="1" ht="21.95" customHeight="1" thickBot="1">
      <c r="J34" s="270"/>
      <c r="K34" s="271"/>
      <c r="L34" s="276"/>
      <c r="M34" s="277"/>
      <c r="N34" s="276"/>
      <c r="O34" s="277"/>
      <c r="P34" s="282"/>
      <c r="Q34" s="283"/>
      <c r="R34" s="287"/>
      <c r="S34" s="287"/>
      <c r="T34" s="287"/>
      <c r="U34" s="287"/>
      <c r="V34" s="287"/>
      <c r="W34" s="287"/>
      <c r="X34" s="287"/>
      <c r="Y34" s="293"/>
    </row>
    <row r="35" spans="2:41" s="2" customFormat="1" ht="21.95" customHeight="1">
      <c r="J35" s="257"/>
      <c r="K35" s="258"/>
      <c r="L35" s="259"/>
      <c r="M35" s="260"/>
      <c r="N35" s="259"/>
      <c r="O35" s="260"/>
      <c r="P35" s="261" t="str">
        <f>IF(L35="","",L35-N35)</f>
        <v/>
      </c>
      <c r="Q35" s="262"/>
      <c r="R35" s="263"/>
      <c r="S35" s="263"/>
      <c r="T35" s="235" t="str">
        <f>IF(P35="","",P35*R35*0.034*$V$4)</f>
        <v/>
      </c>
      <c r="U35" s="235"/>
      <c r="V35" s="233" t="str">
        <f>IF(P35="","",IF(ISERROR(P35*R35*0.034*$X$4),"-",P35*R35*0.034*$X$4))</f>
        <v/>
      </c>
      <c r="W35" s="234"/>
      <c r="X35" s="264" t="str">
        <f>IF(R35="","",R35*P35)</f>
        <v/>
      </c>
      <c r="Y35" s="265"/>
      <c r="AD35" s="49"/>
      <c r="AE35" s="49"/>
      <c r="AF35" s="49"/>
    </row>
    <row r="36" spans="2:41" s="2" customFormat="1" ht="21.95" customHeight="1">
      <c r="J36" s="248"/>
      <c r="K36" s="249"/>
      <c r="L36" s="250"/>
      <c r="M36" s="251"/>
      <c r="N36" s="250"/>
      <c r="O36" s="251"/>
      <c r="P36" s="252" t="str">
        <f t="shared" ref="P36:P37" si="11">IF(L36="","",L36-N36)</f>
        <v/>
      </c>
      <c r="Q36" s="253"/>
      <c r="R36" s="250"/>
      <c r="S36" s="251"/>
      <c r="T36" s="233" t="str">
        <f t="shared" ref="T36:T39" si="12">IF(P36="","",P36*R36*0.034*$V$4)</f>
        <v/>
      </c>
      <c r="U36" s="234"/>
      <c r="V36" s="233" t="str">
        <f t="shared" ref="V36:V39" si="13">IF(P36="","",IF(ISERROR(P36*R36*0.034*$X$4),"-",P36*R36*0.034*$X$4))</f>
        <v/>
      </c>
      <c r="W36" s="234"/>
      <c r="X36" s="233" t="str">
        <f t="shared" ref="X36:X39" si="14">IF(R36="","",R36*P36)</f>
        <v/>
      </c>
      <c r="Y36" s="256"/>
      <c r="AD36" s="49"/>
      <c r="AE36" s="49"/>
      <c r="AF36" s="49"/>
    </row>
    <row r="37" spans="2:41" s="2" customFormat="1" ht="21.95" customHeight="1">
      <c r="J37" s="248"/>
      <c r="K37" s="249"/>
      <c r="L37" s="250"/>
      <c r="M37" s="251"/>
      <c r="N37" s="250"/>
      <c r="O37" s="251"/>
      <c r="P37" s="252" t="str">
        <f t="shared" si="11"/>
        <v/>
      </c>
      <c r="Q37" s="253"/>
      <c r="R37" s="250"/>
      <c r="S37" s="251"/>
      <c r="T37" s="233" t="str">
        <f t="shared" si="12"/>
        <v/>
      </c>
      <c r="U37" s="234"/>
      <c r="V37" s="233" t="str">
        <f t="shared" si="13"/>
        <v/>
      </c>
      <c r="W37" s="234"/>
      <c r="X37" s="233" t="str">
        <f t="shared" si="14"/>
        <v/>
      </c>
      <c r="Y37" s="256"/>
      <c r="AD37" s="49"/>
      <c r="AE37" s="49"/>
      <c r="AF37" s="49"/>
    </row>
    <row r="38" spans="2:41" s="2" customFormat="1" ht="21.95" customHeight="1">
      <c r="J38" s="248"/>
      <c r="K38" s="249"/>
      <c r="L38" s="250"/>
      <c r="M38" s="251"/>
      <c r="N38" s="250"/>
      <c r="O38" s="251"/>
      <c r="P38" s="252" t="str">
        <f>IF(L38="","",L38-N38)</f>
        <v/>
      </c>
      <c r="Q38" s="253"/>
      <c r="R38" s="254"/>
      <c r="S38" s="254"/>
      <c r="T38" s="235" t="str">
        <f t="shared" si="12"/>
        <v/>
      </c>
      <c r="U38" s="235"/>
      <c r="V38" s="233" t="str">
        <f t="shared" si="13"/>
        <v/>
      </c>
      <c r="W38" s="234"/>
      <c r="X38" s="235" t="str">
        <f t="shared" si="14"/>
        <v/>
      </c>
      <c r="Y38" s="236"/>
      <c r="AD38" s="49"/>
      <c r="AE38" s="49"/>
      <c r="AF38" s="49"/>
    </row>
    <row r="39" spans="2:41" s="2" customFormat="1" ht="21.95" customHeight="1" thickBot="1">
      <c r="J39" s="237"/>
      <c r="K39" s="238"/>
      <c r="L39" s="239"/>
      <c r="M39" s="240"/>
      <c r="N39" s="239"/>
      <c r="O39" s="240"/>
      <c r="P39" s="241" t="str">
        <f>IF(L39="","",L39-N39)</f>
        <v/>
      </c>
      <c r="Q39" s="242"/>
      <c r="R39" s="243"/>
      <c r="S39" s="243"/>
      <c r="T39" s="244" t="str">
        <f t="shared" si="12"/>
        <v/>
      </c>
      <c r="U39" s="244"/>
      <c r="V39" s="245" t="str">
        <f t="shared" si="13"/>
        <v/>
      </c>
      <c r="W39" s="246"/>
      <c r="X39" s="244" t="str">
        <f t="shared" si="14"/>
        <v/>
      </c>
      <c r="Y39" s="247"/>
      <c r="AD39" s="49"/>
      <c r="AE39" s="49"/>
      <c r="AF39" s="49"/>
    </row>
    <row r="40" spans="2:41" s="2" customFormat="1" ht="21.95" customHeight="1" thickBot="1">
      <c r="J40" s="218" t="s">
        <v>188</v>
      </c>
      <c r="K40" s="219"/>
      <c r="L40" s="219"/>
      <c r="M40" s="219"/>
      <c r="N40" s="219"/>
      <c r="O40" s="219"/>
      <c r="P40" s="219"/>
      <c r="Q40" s="219"/>
      <c r="R40" s="219"/>
      <c r="S40" s="219"/>
      <c r="T40" s="220">
        <f>SUM(T35:U39)</f>
        <v>0</v>
      </c>
      <c r="U40" s="220"/>
      <c r="V40" s="220">
        <f xml:space="preserve">
IF(共通条件・結果!AA7="８地域","-",SUM(V35:W39))</f>
        <v>0</v>
      </c>
      <c r="W40" s="220"/>
      <c r="X40" s="220">
        <f>SUM(X35:Y39)</f>
        <v>0</v>
      </c>
      <c r="Y40" s="221"/>
    </row>
    <row r="41" spans="2:41" s="2" customFormat="1" ht="12">
      <c r="J41" s="74" t="s">
        <v>168</v>
      </c>
    </row>
    <row r="42" spans="2:41" s="2" customFormat="1" ht="21.95" customHeight="1" thickBot="1">
      <c r="B42" s="4" t="s">
        <v>189</v>
      </c>
    </row>
    <row r="43" spans="2:41" s="2" customFormat="1" ht="21.95" customHeight="1">
      <c r="B43" s="222" t="s">
        <v>185</v>
      </c>
      <c r="C43" s="223"/>
      <c r="D43" s="149" t="s">
        <v>37</v>
      </c>
      <c r="E43" s="150"/>
      <c r="F43" s="150"/>
      <c r="G43" s="150"/>
      <c r="H43" s="150"/>
      <c r="I43" s="150"/>
      <c r="J43" s="151"/>
      <c r="K43" s="68"/>
      <c r="L43" s="228">
        <f>Q43+U43+Y43</f>
        <v>0</v>
      </c>
      <c r="M43" s="228"/>
      <c r="N43" s="228"/>
      <c r="O43" s="68" t="s">
        <v>22</v>
      </c>
      <c r="P43" s="11" t="s">
        <v>21</v>
      </c>
      <c r="Q43" s="229">
        <f>D8*F8+D9*F9+D10*F10+D11*F11+D12*F12+D13*F13+D14*F14+D15*F15+D16*F16+D17*F17+D18*F18+D19*F19</f>
        <v>0</v>
      </c>
      <c r="R43" s="229"/>
      <c r="S43" s="75" t="s">
        <v>23</v>
      </c>
      <c r="T43" s="75" t="s">
        <v>20</v>
      </c>
      <c r="U43" s="230">
        <f>N26*P26+N27*P27+N28*P28</f>
        <v>0</v>
      </c>
      <c r="V43" s="230"/>
      <c r="W43" s="75" t="s">
        <v>23</v>
      </c>
      <c r="X43" s="75" t="s">
        <v>1</v>
      </c>
      <c r="Y43" s="231">
        <f>SUM(P35:Q39)</f>
        <v>0</v>
      </c>
      <c r="Z43" s="232"/>
      <c r="AA43" s="76" t="s">
        <v>17</v>
      </c>
    </row>
    <row r="44" spans="2:41" s="2" customFormat="1" ht="21.95" customHeight="1">
      <c r="B44" s="224"/>
      <c r="C44" s="225"/>
      <c r="D44" s="154" t="s">
        <v>47</v>
      </c>
      <c r="E44" s="155"/>
      <c r="F44" s="155"/>
      <c r="G44" s="155"/>
      <c r="H44" s="155"/>
      <c r="I44" s="155"/>
      <c r="J44" s="156"/>
      <c r="K44" s="71"/>
      <c r="L44" s="71"/>
      <c r="M44" s="71"/>
      <c r="N44" s="71"/>
      <c r="O44" s="71"/>
      <c r="P44" s="71"/>
      <c r="Q44" s="71"/>
      <c r="R44" s="71"/>
      <c r="S44" s="71"/>
      <c r="T44" s="71"/>
      <c r="U44" s="71"/>
      <c r="V44" s="71"/>
      <c r="W44" s="215">
        <f>V20+V29+T40</f>
        <v>0</v>
      </c>
      <c r="X44" s="215"/>
      <c r="Y44" s="215"/>
      <c r="Z44" s="216" t="s">
        <v>126</v>
      </c>
      <c r="AA44" s="217"/>
    </row>
    <row r="45" spans="2:41" s="2" customFormat="1" ht="21.95" customHeight="1">
      <c r="B45" s="224"/>
      <c r="C45" s="225"/>
      <c r="D45" s="154" t="s">
        <v>48</v>
      </c>
      <c r="E45" s="155"/>
      <c r="F45" s="155"/>
      <c r="G45" s="155"/>
      <c r="H45" s="155"/>
      <c r="I45" s="155"/>
      <c r="J45" s="156"/>
      <c r="K45" s="71"/>
      <c r="L45" s="71"/>
      <c r="M45" s="71"/>
      <c r="N45" s="71"/>
      <c r="O45" s="71"/>
      <c r="P45" s="71"/>
      <c r="Q45" s="71"/>
      <c r="R45" s="71"/>
      <c r="S45" s="71"/>
      <c r="T45" s="71"/>
      <c r="U45" s="71"/>
      <c r="V45" s="71"/>
      <c r="W45" s="215">
        <f>IF(共通条件・結果!AA7="８地域","-",$X$20+$X$29+$V$40)</f>
        <v>0</v>
      </c>
      <c r="X45" s="215"/>
      <c r="Y45" s="215"/>
      <c r="Z45" s="216" t="s">
        <v>126</v>
      </c>
      <c r="AA45" s="217"/>
    </row>
    <row r="46" spans="2:41" s="2" customFormat="1" ht="21.95" customHeight="1" thickBot="1">
      <c r="B46" s="226"/>
      <c r="C46" s="227"/>
      <c r="D46" s="142" t="s">
        <v>18</v>
      </c>
      <c r="E46" s="143"/>
      <c r="F46" s="143"/>
      <c r="G46" s="143"/>
      <c r="H46" s="143"/>
      <c r="I46" s="143"/>
      <c r="J46" s="144"/>
      <c r="K46" s="69"/>
      <c r="L46" s="69"/>
      <c r="M46" s="69"/>
      <c r="N46" s="69"/>
      <c r="O46" s="69"/>
      <c r="P46" s="69"/>
      <c r="Q46" s="69"/>
      <c r="R46" s="69"/>
      <c r="S46" s="69"/>
      <c r="T46" s="69"/>
      <c r="U46" s="69"/>
      <c r="V46" s="69"/>
      <c r="W46" s="255">
        <f>Z20+Z29+X40</f>
        <v>0</v>
      </c>
      <c r="X46" s="255"/>
      <c r="Y46" s="255"/>
      <c r="Z46" s="70" t="s">
        <v>19</v>
      </c>
      <c r="AA46" s="77"/>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FIgw+E3AYqq+DINLxOXbrqRk0YY19g1FQivKA4uuN3ibIm+IhUe3BgTEwXt848LTdL4EkGVIqemeCAN+KlI+qw==" saltValue="CWGPRyBdxxmmzjWqrObeLA==" spinCount="100000"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Y43:Z43">
    <cfRule type="expression" dxfId="182" priority="23" stopIfTrue="1">
      <formula>$Y$43=0</formula>
    </cfRule>
  </conditionalFormatting>
  <conditionalFormatting sqref="Q43:R43">
    <cfRule type="expression" dxfId="181" priority="22" stopIfTrue="1">
      <formula>$Q$43=0</formula>
    </cfRule>
  </conditionalFormatting>
  <conditionalFormatting sqref="U43:V43">
    <cfRule type="expression" dxfId="180" priority="21" stopIfTrue="1">
      <formula>$U$43=0</formula>
    </cfRule>
  </conditionalFormatting>
  <conditionalFormatting sqref="L43:N43">
    <cfRule type="expression" dxfId="179" priority="20" stopIfTrue="1">
      <formula>$L$43=0</formula>
    </cfRule>
  </conditionalFormatting>
  <conditionalFormatting sqref="X8:Y8">
    <cfRule type="expression" dxfId="178" priority="18" stopIfTrue="1">
      <formula>#VALUE!</formula>
    </cfRule>
    <cfRule type="expression" dxfId="177" priority="19" stopIfTrue="1">
      <formula>#VALUE!</formula>
    </cfRule>
  </conditionalFormatting>
  <conditionalFormatting sqref="X19:Y19">
    <cfRule type="expression" dxfId="176" priority="17" stopIfTrue="1">
      <formula>#VALUE!</formula>
    </cfRule>
  </conditionalFormatting>
  <conditionalFormatting sqref="X8:Y8">
    <cfRule type="expression" dxfId="175" priority="15" stopIfTrue="1">
      <formula>#VALUE!</formula>
    </cfRule>
    <cfRule type="expression" dxfId="174" priority="16" stopIfTrue="1">
      <formula>#VALUE!</formula>
    </cfRule>
  </conditionalFormatting>
  <conditionalFormatting sqref="X19:Y19">
    <cfRule type="expression" dxfId="173" priority="14" stopIfTrue="1">
      <formula>#VALUE!</formula>
    </cfRule>
  </conditionalFormatting>
  <conditionalFormatting sqref="P8:U8">
    <cfRule type="expression" dxfId="172" priority="13" stopIfTrue="1">
      <formula>$AG$8=TRUE</formula>
    </cfRule>
  </conditionalFormatting>
  <conditionalFormatting sqref="P15:U15">
    <cfRule type="expression" dxfId="171" priority="12" stopIfTrue="1">
      <formula>$AG$15=TRUE</formula>
    </cfRule>
  </conditionalFormatting>
  <conditionalFormatting sqref="P16:U16">
    <cfRule type="expression" dxfId="170" priority="11" stopIfTrue="1">
      <formula>$AG$16=TRUE</formula>
    </cfRule>
  </conditionalFormatting>
  <conditionalFormatting sqref="P17:U17">
    <cfRule type="expression" dxfId="169" priority="10" stopIfTrue="1">
      <formula>$AG$17=TRUE</formula>
    </cfRule>
  </conditionalFormatting>
  <conditionalFormatting sqref="P18:U18">
    <cfRule type="expression" dxfId="168" priority="9" stopIfTrue="1">
      <formula>$AG$18=TRUE</formula>
    </cfRule>
  </conditionalFormatting>
  <conditionalFormatting sqref="P19:U19">
    <cfRule type="expression" dxfId="167" priority="8" stopIfTrue="1">
      <formula>$AG$19=TRUE</formula>
    </cfRule>
  </conditionalFormatting>
  <conditionalFormatting sqref="P10:U10">
    <cfRule type="expression" dxfId="166" priority="7" stopIfTrue="1">
      <formula>$AG$10=TRUE</formula>
    </cfRule>
  </conditionalFormatting>
  <conditionalFormatting sqref="P11:U11">
    <cfRule type="expression" dxfId="165" priority="6" stopIfTrue="1">
      <formula>$AG$11=TRUE</formula>
    </cfRule>
  </conditionalFormatting>
  <conditionalFormatting sqref="P14:U14">
    <cfRule type="expression" dxfId="164" priority="5" stopIfTrue="1">
      <formula>$AG$14=TRUE</formula>
    </cfRule>
  </conditionalFormatting>
  <conditionalFormatting sqref="P9:U9">
    <cfRule type="expression" dxfId="163" priority="4" stopIfTrue="1">
      <formula>$AG$9=TRUE</formula>
    </cfRule>
  </conditionalFormatting>
  <conditionalFormatting sqref="P12:U12">
    <cfRule type="expression" dxfId="162" priority="3">
      <formula>$AG$12=TRUE</formula>
    </cfRule>
  </conditionalFormatting>
  <conditionalFormatting sqref="P13:U13">
    <cfRule type="expression" dxfId="161" priority="2">
      <formula>$AG$13=TRUE</formula>
    </cfRule>
  </conditionalFormatting>
  <dataValidations disablePrompts="1" count="1">
    <dataValidation type="list" allowBlank="1" showInputMessage="1" showErrorMessage="1" sqref="M14:M19 L8:L19 M8:M11 U26 U28 T26:T28" xr:uid="{224B5FE3-8377-4FBB-9A44-80232959E044}">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934E-5A93-4C8B-808D-FF7088FC212A}">
  <sheetPr codeName="Sheet4"/>
  <dimension ref="B1:AO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9" width="3.875" customWidth="1"/>
    <col min="30" max="31" width="10.625" hidden="1" customWidth="1"/>
    <col min="32" max="32" width="2.625" hidden="1" customWidth="1"/>
    <col min="33" max="35" width="10.625" hidden="1" customWidth="1"/>
    <col min="36" max="36" width="2.625" hidden="1" customWidth="1"/>
    <col min="37" max="38" width="15.625" hidden="1" customWidth="1"/>
    <col min="39" max="39" width="2.625" hidden="1" customWidth="1"/>
    <col min="40" max="41" width="10.625" hidden="1" customWidth="1"/>
    <col min="42" max="43" width="3.625" customWidth="1"/>
    <col min="44" max="49" width="4.625" customWidth="1"/>
  </cols>
  <sheetData>
    <row r="1" spans="2:41" ht="3.95" customHeight="1"/>
    <row r="2" spans="2:41" s="1" customFormat="1" ht="30" customHeight="1">
      <c r="B2" s="379" t="s">
        <v>190</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row>
    <row r="3" spans="2:41" s="2" customFormat="1" ht="24.95" customHeight="1" thickBot="1"/>
    <row r="4" spans="2:41" s="2" customFormat="1" ht="21.95" customHeight="1" thickBot="1">
      <c r="B4" s="4" t="s">
        <v>5</v>
      </c>
      <c r="R4" s="380" t="s">
        <v>33</v>
      </c>
      <c r="S4" s="381"/>
      <c r="T4" s="381"/>
      <c r="U4" s="382"/>
      <c r="V4" s="383"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W4" s="384"/>
      <c r="X4" s="383"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Y4" s="384"/>
    </row>
    <row r="5" spans="2:41" s="2" customFormat="1" ht="21.95" customHeight="1">
      <c r="B5" s="385" t="s">
        <v>6</v>
      </c>
      <c r="C5" s="285"/>
      <c r="D5" s="285" t="s">
        <v>153</v>
      </c>
      <c r="E5" s="285"/>
      <c r="F5" s="285"/>
      <c r="G5" s="285"/>
      <c r="H5" s="284" t="s">
        <v>154</v>
      </c>
      <c r="I5" s="285"/>
      <c r="J5" s="284" t="s">
        <v>65</v>
      </c>
      <c r="K5" s="285"/>
      <c r="L5" s="284" t="s">
        <v>9</v>
      </c>
      <c r="M5" s="285"/>
      <c r="N5" s="388" t="s">
        <v>46</v>
      </c>
      <c r="O5" s="232"/>
      <c r="P5" s="232"/>
      <c r="Q5" s="232"/>
      <c r="R5" s="232"/>
      <c r="S5" s="232"/>
      <c r="T5" s="232"/>
      <c r="U5" s="232"/>
      <c r="V5" s="284" t="s">
        <v>155</v>
      </c>
      <c r="W5" s="285"/>
      <c r="X5" s="284" t="s">
        <v>156</v>
      </c>
      <c r="Y5" s="285"/>
      <c r="Z5" s="284" t="s">
        <v>123</v>
      </c>
      <c r="AA5" s="291"/>
    </row>
    <row r="6" spans="2:41" s="2" customFormat="1" ht="21.95" customHeight="1">
      <c r="B6" s="386"/>
      <c r="C6" s="286"/>
      <c r="D6" s="367" t="s">
        <v>8</v>
      </c>
      <c r="E6" s="368"/>
      <c r="F6" s="371" t="s">
        <v>7</v>
      </c>
      <c r="G6" s="372"/>
      <c r="H6" s="286"/>
      <c r="I6" s="286"/>
      <c r="J6" s="288"/>
      <c r="K6" s="286"/>
      <c r="L6" s="288"/>
      <c r="M6" s="286"/>
      <c r="N6" s="373" t="s">
        <v>45</v>
      </c>
      <c r="O6" s="374"/>
      <c r="P6" s="376" t="s">
        <v>157</v>
      </c>
      <c r="Q6" s="377"/>
      <c r="R6" s="377"/>
      <c r="S6" s="377"/>
      <c r="T6" s="377"/>
      <c r="U6" s="378"/>
      <c r="V6" s="288"/>
      <c r="W6" s="286"/>
      <c r="X6" s="288"/>
      <c r="Y6" s="286"/>
      <c r="Z6" s="286"/>
      <c r="AA6" s="292"/>
      <c r="AD6" s="307" t="s">
        <v>49</v>
      </c>
      <c r="AE6" s="307"/>
      <c r="AF6" s="40"/>
      <c r="AG6" s="40"/>
      <c r="AH6" s="307" t="s">
        <v>12</v>
      </c>
      <c r="AI6" s="307"/>
      <c r="AJ6" s="40"/>
      <c r="AK6" s="307" t="s">
        <v>50</v>
      </c>
      <c r="AL6" s="307"/>
      <c r="AN6" s="307" t="s">
        <v>58</v>
      </c>
      <c r="AO6" s="307"/>
    </row>
    <row r="7" spans="2:41" s="2" customFormat="1" ht="21.95" customHeight="1" thickBot="1">
      <c r="B7" s="387"/>
      <c r="C7" s="287"/>
      <c r="D7" s="369"/>
      <c r="E7" s="370"/>
      <c r="F7" s="317"/>
      <c r="G7" s="271"/>
      <c r="H7" s="287"/>
      <c r="I7" s="287"/>
      <c r="J7" s="287"/>
      <c r="K7" s="287"/>
      <c r="L7" s="287"/>
      <c r="M7" s="287"/>
      <c r="N7" s="276"/>
      <c r="O7" s="375"/>
      <c r="P7" s="271" t="s">
        <v>10</v>
      </c>
      <c r="Q7" s="320"/>
      <c r="R7" s="364" t="s">
        <v>11</v>
      </c>
      <c r="S7" s="365"/>
      <c r="T7" s="271" t="s">
        <v>3</v>
      </c>
      <c r="U7" s="320"/>
      <c r="V7" s="287"/>
      <c r="W7" s="287"/>
      <c r="X7" s="287"/>
      <c r="Y7" s="287"/>
      <c r="Z7" s="287"/>
      <c r="AA7" s="293"/>
      <c r="AD7" s="40" t="s">
        <v>4</v>
      </c>
      <c r="AE7" s="40" t="s">
        <v>16</v>
      </c>
      <c r="AF7" s="40"/>
      <c r="AG7" s="40"/>
      <c r="AH7" s="40" t="s">
        <v>4</v>
      </c>
      <c r="AI7" s="40" t="s">
        <v>16</v>
      </c>
      <c r="AJ7" s="40"/>
      <c r="AK7" s="40" t="s">
        <v>4</v>
      </c>
      <c r="AL7" s="40" t="s">
        <v>16</v>
      </c>
      <c r="AN7" s="72" t="s">
        <v>56</v>
      </c>
      <c r="AO7" s="2" t="s">
        <v>54</v>
      </c>
    </row>
    <row r="8" spans="2:41" s="2" customFormat="1" ht="21.95" customHeight="1">
      <c r="B8" s="257"/>
      <c r="C8" s="363"/>
      <c r="D8" s="311"/>
      <c r="E8" s="312"/>
      <c r="F8" s="312"/>
      <c r="G8" s="313"/>
      <c r="H8" s="263"/>
      <c r="I8" s="263"/>
      <c r="J8" s="263"/>
      <c r="K8" s="263"/>
      <c r="L8" s="335"/>
      <c r="M8" s="335"/>
      <c r="N8" s="355"/>
      <c r="O8" s="356"/>
      <c r="P8" s="357"/>
      <c r="Q8" s="358"/>
      <c r="R8" s="359"/>
      <c r="S8" s="360"/>
      <c r="T8" s="361"/>
      <c r="U8" s="357"/>
      <c r="V8" s="362" t="str">
        <f>IF(D8="","",AD8)</f>
        <v/>
      </c>
      <c r="W8" s="362"/>
      <c r="X8" s="362" t="str">
        <f t="shared" ref="X8:X19" si="0">IF(D8="","",IF(ISERROR(AE8),"-",AE8))</f>
        <v/>
      </c>
      <c r="Y8" s="362"/>
      <c r="Z8" s="362" t="str">
        <f>IF(D8="","",D8*F8*AN8)</f>
        <v/>
      </c>
      <c r="AA8" s="389"/>
      <c r="AD8" s="2" t="e">
        <f>D8*F8*J8*$V$4*AH8</f>
        <v>#VALUE!</v>
      </c>
      <c r="AE8" s="2" t="e">
        <f>D8*F8*J8*$X$4*AI8</f>
        <v>#VALUE!</v>
      </c>
      <c r="AG8" s="49"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1">IF(L8="","FALSE",IF(L8="雨戸",0.1,IF(L8="ｼｬｯﾀｰ",0.1,IF(L8="障子",0.18,IF(L8="風除室",0.1)))))</f>
        <v>FALSE</v>
      </c>
    </row>
    <row r="9" spans="2:41" s="2" customFormat="1" ht="21.95" customHeight="1">
      <c r="B9" s="248"/>
      <c r="C9" s="349"/>
      <c r="D9" s="350"/>
      <c r="E9" s="351"/>
      <c r="F9" s="351"/>
      <c r="G9" s="352"/>
      <c r="H9" s="254"/>
      <c r="I9" s="254"/>
      <c r="J9" s="254"/>
      <c r="K9" s="254"/>
      <c r="L9" s="301"/>
      <c r="M9" s="301"/>
      <c r="N9" s="341"/>
      <c r="O9" s="342"/>
      <c r="P9" s="343"/>
      <c r="Q9" s="344"/>
      <c r="R9" s="345"/>
      <c r="S9" s="346"/>
      <c r="T9" s="347"/>
      <c r="U9" s="343"/>
      <c r="V9" s="235" t="str">
        <f t="shared" ref="V9:V19" si="2">IF(D9="","",AD9)</f>
        <v/>
      </c>
      <c r="W9" s="235"/>
      <c r="X9" s="235" t="str">
        <f t="shared" si="0"/>
        <v/>
      </c>
      <c r="Y9" s="235"/>
      <c r="Z9" s="235" t="str">
        <f t="shared" ref="Z9:Z19" si="3">IF(D9="","",D9*F9*AN9)</f>
        <v/>
      </c>
      <c r="AA9" s="236"/>
      <c r="AD9" s="2" t="e">
        <f t="shared" ref="AD9:AD19" si="4">D9*F9*J9*$V$4*AH9</f>
        <v>#VALUE!</v>
      </c>
      <c r="AE9" s="2" t="e">
        <f t="shared" ref="AE9:AE19" si="5">D9*F9*J9*$X$4*AI9</f>
        <v>#VALUE!</v>
      </c>
      <c r="AG9" s="49"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1"/>
        <v>FALSE</v>
      </c>
    </row>
    <row r="10" spans="2:41" s="2" customFormat="1" ht="21.95" customHeight="1">
      <c r="B10" s="248"/>
      <c r="C10" s="349"/>
      <c r="D10" s="350"/>
      <c r="E10" s="351"/>
      <c r="F10" s="351"/>
      <c r="G10" s="352"/>
      <c r="H10" s="254"/>
      <c r="I10" s="254"/>
      <c r="J10" s="254"/>
      <c r="K10" s="254"/>
      <c r="L10" s="301"/>
      <c r="M10" s="301"/>
      <c r="N10" s="341"/>
      <c r="O10" s="342"/>
      <c r="P10" s="344"/>
      <c r="Q10" s="353"/>
      <c r="R10" s="348"/>
      <c r="S10" s="353"/>
      <c r="T10" s="348"/>
      <c r="U10" s="347"/>
      <c r="V10" s="235" t="str">
        <f t="shared" si="2"/>
        <v/>
      </c>
      <c r="W10" s="235"/>
      <c r="X10" s="235" t="str">
        <f t="shared" si="0"/>
        <v/>
      </c>
      <c r="Y10" s="235"/>
      <c r="Z10" s="235" t="str">
        <f t="shared" si="3"/>
        <v/>
      </c>
      <c r="AA10" s="236"/>
      <c r="AD10" s="2" t="e">
        <f t="shared" si="4"/>
        <v>#VALUE!</v>
      </c>
      <c r="AE10" s="2" t="e">
        <f t="shared" si="5"/>
        <v>#VALUE!</v>
      </c>
      <c r="AG10" s="49" t="b">
        <v>0</v>
      </c>
      <c r="AH10" s="2" t="str">
        <f t="shared" si="6"/>
        <v>エラー</v>
      </c>
      <c r="AI10" s="2" t="str">
        <f t="shared" si="7"/>
        <v>エラー</v>
      </c>
      <c r="AK10" s="2" t="e">
        <f t="shared" si="8"/>
        <v>#DIV/0!</v>
      </c>
      <c r="AL10" s="2" t="e">
        <f t="shared" si="9"/>
        <v>#DIV/0!</v>
      </c>
      <c r="AN10" s="2">
        <f t="shared" si="10"/>
        <v>0</v>
      </c>
      <c r="AO10" s="40" t="str">
        <f t="shared" si="1"/>
        <v>FALSE</v>
      </c>
    </row>
    <row r="11" spans="2:41" s="2" customFormat="1" ht="21.95" customHeight="1">
      <c r="B11" s="248"/>
      <c r="C11" s="349"/>
      <c r="D11" s="350"/>
      <c r="E11" s="351"/>
      <c r="F11" s="351"/>
      <c r="G11" s="352"/>
      <c r="H11" s="254"/>
      <c r="I11" s="254"/>
      <c r="J11" s="254"/>
      <c r="K11" s="254"/>
      <c r="L11" s="301"/>
      <c r="M11" s="301"/>
      <c r="N11" s="341"/>
      <c r="O11" s="342"/>
      <c r="P11" s="344"/>
      <c r="Q11" s="353"/>
      <c r="R11" s="348"/>
      <c r="S11" s="353"/>
      <c r="T11" s="348"/>
      <c r="U11" s="347"/>
      <c r="V11" s="235" t="str">
        <f t="shared" si="2"/>
        <v/>
      </c>
      <c r="W11" s="235"/>
      <c r="X11" s="235" t="str">
        <f t="shared" si="0"/>
        <v/>
      </c>
      <c r="Y11" s="235"/>
      <c r="Z11" s="235" t="str">
        <f t="shared" si="3"/>
        <v/>
      </c>
      <c r="AA11" s="236"/>
      <c r="AD11" s="2" t="e">
        <f t="shared" si="4"/>
        <v>#VALUE!</v>
      </c>
      <c r="AE11" s="2" t="e">
        <f t="shared" si="5"/>
        <v>#VALUE!</v>
      </c>
      <c r="AG11" s="49" t="b">
        <v>0</v>
      </c>
      <c r="AH11" s="2" t="str">
        <f t="shared" si="6"/>
        <v>エラー</v>
      </c>
      <c r="AI11" s="2" t="str">
        <f t="shared" si="7"/>
        <v>エラー</v>
      </c>
      <c r="AK11" s="2" t="e">
        <f t="shared" si="8"/>
        <v>#DIV/0!</v>
      </c>
      <c r="AL11" s="2" t="e">
        <f t="shared" si="9"/>
        <v>#DIV/0!</v>
      </c>
      <c r="AN11" s="2">
        <f t="shared" si="10"/>
        <v>0</v>
      </c>
      <c r="AO11" s="40" t="str">
        <f t="shared" si="1"/>
        <v>FALSE</v>
      </c>
    </row>
    <row r="12" spans="2:41" s="2" customFormat="1" ht="21.95" customHeight="1">
      <c r="B12" s="248"/>
      <c r="C12" s="249"/>
      <c r="D12" s="250"/>
      <c r="E12" s="305"/>
      <c r="F12" s="306"/>
      <c r="G12" s="251"/>
      <c r="H12" s="250"/>
      <c r="I12" s="251"/>
      <c r="J12" s="250"/>
      <c r="K12" s="251"/>
      <c r="L12" s="315"/>
      <c r="M12" s="316"/>
      <c r="N12" s="341"/>
      <c r="O12" s="354"/>
      <c r="P12" s="344"/>
      <c r="Q12" s="353"/>
      <c r="R12" s="348"/>
      <c r="S12" s="353"/>
      <c r="T12" s="348"/>
      <c r="U12" s="347"/>
      <c r="V12" s="233" t="str">
        <f t="shared" si="2"/>
        <v/>
      </c>
      <c r="W12" s="234"/>
      <c r="X12" s="233" t="str">
        <f t="shared" si="0"/>
        <v/>
      </c>
      <c r="Y12" s="234"/>
      <c r="Z12" s="233" t="str">
        <f t="shared" si="3"/>
        <v/>
      </c>
      <c r="AA12" s="256"/>
      <c r="AD12" s="2" t="e">
        <f t="shared" si="4"/>
        <v>#VALUE!</v>
      </c>
      <c r="AE12" s="2" t="e">
        <f t="shared" si="5"/>
        <v>#VALUE!</v>
      </c>
      <c r="AG12" s="49" t="b">
        <v>0</v>
      </c>
      <c r="AH12" s="2" t="str">
        <f t="shared" si="6"/>
        <v>エラー</v>
      </c>
      <c r="AI12" s="2" t="str">
        <f t="shared" si="7"/>
        <v>エラー</v>
      </c>
      <c r="AK12" s="2" t="e">
        <f t="shared" si="8"/>
        <v>#DIV/0!</v>
      </c>
      <c r="AL12" s="2" t="e">
        <f t="shared" si="9"/>
        <v>#DIV/0!</v>
      </c>
      <c r="AN12" s="2">
        <f t="shared" si="10"/>
        <v>0</v>
      </c>
      <c r="AO12" s="40" t="str">
        <f t="shared" si="1"/>
        <v>FALSE</v>
      </c>
    </row>
    <row r="13" spans="2:41" s="2" customFormat="1" ht="21.95" customHeight="1">
      <c r="B13" s="248"/>
      <c r="C13" s="249"/>
      <c r="D13" s="250"/>
      <c r="E13" s="305"/>
      <c r="F13" s="306"/>
      <c r="G13" s="251"/>
      <c r="H13" s="250"/>
      <c r="I13" s="251"/>
      <c r="J13" s="250"/>
      <c r="K13" s="251"/>
      <c r="L13" s="315"/>
      <c r="M13" s="316"/>
      <c r="N13" s="341"/>
      <c r="O13" s="354"/>
      <c r="P13" s="344"/>
      <c r="Q13" s="353"/>
      <c r="R13" s="348"/>
      <c r="S13" s="353"/>
      <c r="T13" s="348"/>
      <c r="U13" s="347"/>
      <c r="V13" s="233" t="str">
        <f t="shared" si="2"/>
        <v/>
      </c>
      <c r="W13" s="234"/>
      <c r="X13" s="233" t="str">
        <f t="shared" si="0"/>
        <v/>
      </c>
      <c r="Y13" s="234"/>
      <c r="Z13" s="233" t="str">
        <f t="shared" si="3"/>
        <v/>
      </c>
      <c r="AA13" s="256"/>
      <c r="AD13" s="2" t="e">
        <f t="shared" si="4"/>
        <v>#VALUE!</v>
      </c>
      <c r="AE13" s="2" t="e">
        <f t="shared" si="5"/>
        <v>#VALUE!</v>
      </c>
      <c r="AG13" s="49" t="b">
        <v>0</v>
      </c>
      <c r="AH13" s="2" t="str">
        <f t="shared" si="6"/>
        <v>エラー</v>
      </c>
      <c r="AI13" s="2" t="str">
        <f t="shared" si="7"/>
        <v>エラー</v>
      </c>
      <c r="AK13" s="2" t="e">
        <f t="shared" si="8"/>
        <v>#DIV/0!</v>
      </c>
      <c r="AL13" s="2" t="e">
        <f t="shared" si="9"/>
        <v>#DIV/0!</v>
      </c>
      <c r="AN13" s="2">
        <f t="shared" si="10"/>
        <v>0</v>
      </c>
      <c r="AO13" s="40" t="str">
        <f t="shared" si="1"/>
        <v>FALSE</v>
      </c>
    </row>
    <row r="14" spans="2:41" s="2" customFormat="1" ht="21.95" customHeight="1">
      <c r="B14" s="248"/>
      <c r="C14" s="349"/>
      <c r="D14" s="350"/>
      <c r="E14" s="351"/>
      <c r="F14" s="351"/>
      <c r="G14" s="352"/>
      <c r="H14" s="254"/>
      <c r="I14" s="254"/>
      <c r="J14" s="254"/>
      <c r="K14" s="254"/>
      <c r="L14" s="301"/>
      <c r="M14" s="301"/>
      <c r="N14" s="341"/>
      <c r="O14" s="342"/>
      <c r="P14" s="344"/>
      <c r="Q14" s="353"/>
      <c r="R14" s="348"/>
      <c r="S14" s="353"/>
      <c r="T14" s="348"/>
      <c r="U14" s="347"/>
      <c r="V14" s="235" t="str">
        <f t="shared" si="2"/>
        <v/>
      </c>
      <c r="W14" s="235"/>
      <c r="X14" s="235" t="str">
        <f t="shared" si="0"/>
        <v/>
      </c>
      <c r="Y14" s="235"/>
      <c r="Z14" s="235" t="str">
        <f t="shared" si="3"/>
        <v/>
      </c>
      <c r="AA14" s="236"/>
      <c r="AD14" s="2" t="e">
        <f t="shared" si="4"/>
        <v>#VALUE!</v>
      </c>
      <c r="AE14" s="2" t="e">
        <f t="shared" si="5"/>
        <v>#VALUE!</v>
      </c>
      <c r="AG14" s="49" t="b">
        <v>0</v>
      </c>
      <c r="AH14" s="2" t="str">
        <f t="shared" si="6"/>
        <v>エラー</v>
      </c>
      <c r="AI14" s="2" t="str">
        <f t="shared" si="7"/>
        <v>エラー</v>
      </c>
      <c r="AK14" s="2" t="e">
        <f t="shared" si="8"/>
        <v>#DIV/0!</v>
      </c>
      <c r="AL14" s="2" t="e">
        <f t="shared" si="9"/>
        <v>#DIV/0!</v>
      </c>
      <c r="AN14" s="2">
        <f t="shared" si="10"/>
        <v>0</v>
      </c>
      <c r="AO14" s="40" t="str">
        <f t="shared" si="1"/>
        <v>FALSE</v>
      </c>
    </row>
    <row r="15" spans="2:41" s="2" customFormat="1" ht="21.95" customHeight="1">
      <c r="B15" s="248"/>
      <c r="C15" s="349"/>
      <c r="D15" s="350"/>
      <c r="E15" s="351"/>
      <c r="F15" s="351"/>
      <c r="G15" s="352"/>
      <c r="H15" s="254"/>
      <c r="I15" s="254"/>
      <c r="J15" s="254"/>
      <c r="K15" s="254"/>
      <c r="L15" s="301"/>
      <c r="M15" s="301"/>
      <c r="N15" s="341"/>
      <c r="O15" s="342"/>
      <c r="P15" s="344"/>
      <c r="Q15" s="353"/>
      <c r="R15" s="348"/>
      <c r="S15" s="353"/>
      <c r="T15" s="348"/>
      <c r="U15" s="347"/>
      <c r="V15" s="233" t="str">
        <f t="shared" si="2"/>
        <v/>
      </c>
      <c r="W15" s="234"/>
      <c r="X15" s="235" t="str">
        <f t="shared" si="0"/>
        <v/>
      </c>
      <c r="Y15" s="235"/>
      <c r="Z15" s="235" t="str">
        <f t="shared" si="3"/>
        <v/>
      </c>
      <c r="AA15" s="236"/>
      <c r="AD15" s="2" t="e">
        <f t="shared" si="4"/>
        <v>#VALUE!</v>
      </c>
      <c r="AE15" s="2" t="e">
        <f t="shared" si="5"/>
        <v>#VALUE!</v>
      </c>
      <c r="AG15" s="49" t="b">
        <v>0</v>
      </c>
      <c r="AH15" s="2" t="str">
        <f t="shared" si="6"/>
        <v>エラー</v>
      </c>
      <c r="AI15" s="2" t="str">
        <f t="shared" si="7"/>
        <v>エラー</v>
      </c>
      <c r="AK15" s="2" t="e">
        <f t="shared" si="8"/>
        <v>#DIV/0!</v>
      </c>
      <c r="AL15" s="2" t="e">
        <f t="shared" si="9"/>
        <v>#DIV/0!</v>
      </c>
      <c r="AN15" s="2">
        <f t="shared" si="10"/>
        <v>0</v>
      </c>
      <c r="AO15" s="40" t="str">
        <f t="shared" si="1"/>
        <v>FALSE</v>
      </c>
    </row>
    <row r="16" spans="2:41" s="2" customFormat="1" ht="21.95" customHeight="1">
      <c r="B16" s="248"/>
      <c r="C16" s="349"/>
      <c r="D16" s="350"/>
      <c r="E16" s="351"/>
      <c r="F16" s="351"/>
      <c r="G16" s="352"/>
      <c r="H16" s="254"/>
      <c r="I16" s="254"/>
      <c r="J16" s="254"/>
      <c r="K16" s="254"/>
      <c r="L16" s="301"/>
      <c r="M16" s="301"/>
      <c r="N16" s="341"/>
      <c r="O16" s="342"/>
      <c r="P16" s="344"/>
      <c r="Q16" s="353"/>
      <c r="R16" s="348"/>
      <c r="S16" s="353"/>
      <c r="T16" s="348"/>
      <c r="U16" s="347"/>
      <c r="V16" s="233" t="str">
        <f t="shared" si="2"/>
        <v/>
      </c>
      <c r="W16" s="234"/>
      <c r="X16" s="235" t="str">
        <f t="shared" si="0"/>
        <v/>
      </c>
      <c r="Y16" s="235"/>
      <c r="Z16" s="235" t="str">
        <f t="shared" si="3"/>
        <v/>
      </c>
      <c r="AA16" s="236"/>
      <c r="AD16" s="2" t="e">
        <f t="shared" si="4"/>
        <v>#VALUE!</v>
      </c>
      <c r="AE16" s="2" t="e">
        <f t="shared" si="5"/>
        <v>#VALUE!</v>
      </c>
      <c r="AG16" s="49" t="b">
        <v>0</v>
      </c>
      <c r="AH16" s="2" t="str">
        <f t="shared" si="6"/>
        <v>エラー</v>
      </c>
      <c r="AI16" s="2" t="str">
        <f t="shared" si="7"/>
        <v>エラー</v>
      </c>
      <c r="AK16" s="2" t="e">
        <f t="shared" si="8"/>
        <v>#DIV/0!</v>
      </c>
      <c r="AL16" s="2" t="e">
        <f t="shared" si="9"/>
        <v>#DIV/0!</v>
      </c>
      <c r="AN16" s="2">
        <f t="shared" si="10"/>
        <v>0</v>
      </c>
      <c r="AO16" s="40" t="str">
        <f t="shared" si="1"/>
        <v>FALSE</v>
      </c>
    </row>
    <row r="17" spans="2:41" s="2" customFormat="1" ht="21.95" customHeight="1">
      <c r="B17" s="248"/>
      <c r="C17" s="349"/>
      <c r="D17" s="350"/>
      <c r="E17" s="351"/>
      <c r="F17" s="351"/>
      <c r="G17" s="352"/>
      <c r="H17" s="254"/>
      <c r="I17" s="254"/>
      <c r="J17" s="254"/>
      <c r="K17" s="254"/>
      <c r="L17" s="301"/>
      <c r="M17" s="301"/>
      <c r="N17" s="341"/>
      <c r="O17" s="342"/>
      <c r="P17" s="343"/>
      <c r="Q17" s="344"/>
      <c r="R17" s="348"/>
      <c r="S17" s="353"/>
      <c r="T17" s="348"/>
      <c r="U17" s="347"/>
      <c r="V17" s="233" t="str">
        <f t="shared" si="2"/>
        <v/>
      </c>
      <c r="W17" s="234"/>
      <c r="X17" s="235" t="str">
        <f t="shared" si="0"/>
        <v/>
      </c>
      <c r="Y17" s="235"/>
      <c r="Z17" s="235" t="str">
        <f t="shared" si="3"/>
        <v/>
      </c>
      <c r="AA17" s="236"/>
      <c r="AD17" s="2" t="e">
        <f t="shared" si="4"/>
        <v>#VALUE!</v>
      </c>
      <c r="AE17" s="2" t="e">
        <f t="shared" si="5"/>
        <v>#VALUE!</v>
      </c>
      <c r="AG17" s="49" t="b">
        <v>0</v>
      </c>
      <c r="AH17" s="2" t="str">
        <f t="shared" si="6"/>
        <v>エラー</v>
      </c>
      <c r="AI17" s="2" t="str">
        <f t="shared" si="7"/>
        <v>エラー</v>
      </c>
      <c r="AK17" s="2" t="e">
        <f t="shared" si="8"/>
        <v>#DIV/0!</v>
      </c>
      <c r="AL17" s="2" t="e">
        <f t="shared" si="9"/>
        <v>#DIV/0!</v>
      </c>
      <c r="AN17" s="2">
        <f t="shared" si="10"/>
        <v>0</v>
      </c>
      <c r="AO17" s="40" t="str">
        <f t="shared" si="1"/>
        <v>FALSE</v>
      </c>
    </row>
    <row r="18" spans="2:41" s="2" customFormat="1" ht="21.95" customHeight="1">
      <c r="B18" s="248"/>
      <c r="C18" s="349"/>
      <c r="D18" s="350"/>
      <c r="E18" s="351"/>
      <c r="F18" s="351"/>
      <c r="G18" s="352"/>
      <c r="H18" s="254"/>
      <c r="I18" s="254"/>
      <c r="J18" s="254"/>
      <c r="K18" s="254"/>
      <c r="L18" s="301"/>
      <c r="M18" s="301"/>
      <c r="N18" s="341"/>
      <c r="O18" s="342"/>
      <c r="P18" s="343"/>
      <c r="Q18" s="344"/>
      <c r="R18" s="345"/>
      <c r="S18" s="346"/>
      <c r="T18" s="347"/>
      <c r="U18" s="343"/>
      <c r="V18" s="233" t="str">
        <f t="shared" si="2"/>
        <v/>
      </c>
      <c r="W18" s="234"/>
      <c r="X18" s="235" t="str">
        <f t="shared" si="0"/>
        <v/>
      </c>
      <c r="Y18" s="235"/>
      <c r="Z18" s="235" t="str">
        <f t="shared" si="3"/>
        <v/>
      </c>
      <c r="AA18" s="236"/>
      <c r="AD18" s="2" t="e">
        <f t="shared" si="4"/>
        <v>#VALUE!</v>
      </c>
      <c r="AE18" s="2" t="e">
        <f t="shared" si="5"/>
        <v>#VALUE!</v>
      </c>
      <c r="AG18" s="49" t="b">
        <v>0</v>
      </c>
      <c r="AH18" s="2" t="str">
        <f t="shared" si="6"/>
        <v>エラー</v>
      </c>
      <c r="AI18" s="2" t="str">
        <f t="shared" si="7"/>
        <v>エラー</v>
      </c>
      <c r="AK18" s="2" t="e">
        <f t="shared" si="8"/>
        <v>#DIV/0!</v>
      </c>
      <c r="AL18" s="2" t="e">
        <f t="shared" si="9"/>
        <v>#DIV/0!</v>
      </c>
      <c r="AN18" s="2">
        <f t="shared" si="10"/>
        <v>0</v>
      </c>
      <c r="AO18" s="40" t="str">
        <f t="shared" si="1"/>
        <v>FALSE</v>
      </c>
    </row>
    <row r="19" spans="2:41" s="2" customFormat="1" ht="21.95" customHeight="1" thickBot="1">
      <c r="B19" s="237"/>
      <c r="C19" s="334"/>
      <c r="D19" s="297"/>
      <c r="E19" s="298"/>
      <c r="F19" s="298"/>
      <c r="G19" s="299"/>
      <c r="H19" s="300"/>
      <c r="I19" s="300"/>
      <c r="J19" s="300"/>
      <c r="K19" s="300"/>
      <c r="L19" s="335"/>
      <c r="M19" s="335"/>
      <c r="N19" s="336"/>
      <c r="O19" s="337"/>
      <c r="P19" s="333"/>
      <c r="Q19" s="338"/>
      <c r="R19" s="339"/>
      <c r="S19" s="340"/>
      <c r="T19" s="332"/>
      <c r="U19" s="333"/>
      <c r="V19" s="233" t="str">
        <f t="shared" si="2"/>
        <v/>
      </c>
      <c r="W19" s="234"/>
      <c r="X19" s="235" t="str">
        <f t="shared" si="0"/>
        <v/>
      </c>
      <c r="Y19" s="235"/>
      <c r="Z19" s="244" t="str">
        <f t="shared" si="3"/>
        <v/>
      </c>
      <c r="AA19" s="247"/>
      <c r="AD19" s="2" t="e">
        <f t="shared" si="4"/>
        <v>#VALUE!</v>
      </c>
      <c r="AE19" s="2" t="e">
        <f t="shared" si="5"/>
        <v>#VALUE!</v>
      </c>
      <c r="AG19" s="49" t="b">
        <v>0</v>
      </c>
      <c r="AH19" s="2" t="str">
        <f t="shared" si="6"/>
        <v>エラー</v>
      </c>
      <c r="AI19" s="2" t="str">
        <f t="shared" si="7"/>
        <v>エラー</v>
      </c>
      <c r="AK19" s="2" t="e">
        <f t="shared" si="8"/>
        <v>#DIV/0!</v>
      </c>
      <c r="AL19" s="2" t="e">
        <f t="shared" si="9"/>
        <v>#DIV/0!</v>
      </c>
      <c r="AN19" s="2">
        <f t="shared" si="10"/>
        <v>0</v>
      </c>
      <c r="AO19" s="40" t="str">
        <f t="shared" si="1"/>
        <v>FALSE</v>
      </c>
    </row>
    <row r="20" spans="2:41" s="2" customFormat="1" ht="21.95" customHeight="1" thickBot="1">
      <c r="B20" s="218" t="s">
        <v>191</v>
      </c>
      <c r="C20" s="219"/>
      <c r="D20" s="219"/>
      <c r="E20" s="219"/>
      <c r="F20" s="219"/>
      <c r="G20" s="219"/>
      <c r="H20" s="219"/>
      <c r="I20" s="219"/>
      <c r="J20" s="219"/>
      <c r="K20" s="219"/>
      <c r="L20" s="219"/>
      <c r="M20" s="219"/>
      <c r="N20" s="219"/>
      <c r="O20" s="219"/>
      <c r="P20" s="219"/>
      <c r="Q20" s="219"/>
      <c r="R20" s="219"/>
      <c r="S20" s="219"/>
      <c r="T20" s="219"/>
      <c r="U20" s="219"/>
      <c r="V20" s="220">
        <f>SUM(V8:W19)</f>
        <v>0</v>
      </c>
      <c r="W20" s="220"/>
      <c r="X20" s="220">
        <f>IF(共通条件・結果!AA7="８地域","-",SUM(X8:Y19))</f>
        <v>0</v>
      </c>
      <c r="Y20" s="220"/>
      <c r="Z20" s="220">
        <f>SUM(Z8:AA19)</f>
        <v>0</v>
      </c>
      <c r="AA20" s="221"/>
    </row>
    <row r="21" spans="2:41" s="2" customFormat="1" ht="9.9499999999999993" customHeight="1">
      <c r="AN21" s="307"/>
      <c r="AO21" s="307"/>
    </row>
    <row r="22" spans="2:41" s="2" customFormat="1" ht="21.95" customHeight="1" thickBot="1">
      <c r="E22" s="4"/>
      <c r="J22" s="4" t="s">
        <v>13</v>
      </c>
    </row>
    <row r="23" spans="2:41" s="2" customFormat="1" ht="21.95" customHeight="1">
      <c r="J23" s="266" t="s">
        <v>14</v>
      </c>
      <c r="K23" s="183"/>
      <c r="L23" s="183"/>
      <c r="M23" s="267"/>
      <c r="N23" s="322" t="s">
        <v>153</v>
      </c>
      <c r="O23" s="183"/>
      <c r="P23" s="183"/>
      <c r="Q23" s="267"/>
      <c r="R23" s="284" t="s">
        <v>154</v>
      </c>
      <c r="S23" s="285"/>
      <c r="T23" s="324" t="s">
        <v>9</v>
      </c>
      <c r="U23" s="325"/>
      <c r="V23" s="272" t="s">
        <v>158</v>
      </c>
      <c r="W23" s="273"/>
      <c r="X23" s="272" t="s">
        <v>156</v>
      </c>
      <c r="Y23" s="273"/>
      <c r="Z23" s="272" t="s">
        <v>123</v>
      </c>
      <c r="AA23" s="184"/>
      <c r="AN23" s="307" t="s">
        <v>58</v>
      </c>
      <c r="AO23" s="307"/>
    </row>
    <row r="24" spans="2:41" s="2" customFormat="1" ht="21.95" customHeight="1">
      <c r="J24" s="268"/>
      <c r="K24" s="307"/>
      <c r="L24" s="307"/>
      <c r="M24" s="269"/>
      <c r="N24" s="195"/>
      <c r="O24" s="196"/>
      <c r="P24" s="196"/>
      <c r="Q24" s="323"/>
      <c r="R24" s="288"/>
      <c r="S24" s="286"/>
      <c r="T24" s="326"/>
      <c r="U24" s="327"/>
      <c r="V24" s="274"/>
      <c r="W24" s="275"/>
      <c r="X24" s="274"/>
      <c r="Y24" s="275"/>
      <c r="Z24" s="318"/>
      <c r="AA24" s="319"/>
      <c r="AN24" s="40"/>
      <c r="AO24" s="40"/>
    </row>
    <row r="25" spans="2:41" s="2" customFormat="1" ht="21.95" customHeight="1" thickBot="1">
      <c r="J25" s="270"/>
      <c r="K25" s="317"/>
      <c r="L25" s="317"/>
      <c r="M25" s="271"/>
      <c r="N25" s="329" t="s">
        <v>8</v>
      </c>
      <c r="O25" s="330"/>
      <c r="P25" s="331" t="s">
        <v>7</v>
      </c>
      <c r="Q25" s="287"/>
      <c r="R25" s="287"/>
      <c r="S25" s="287"/>
      <c r="T25" s="328"/>
      <c r="U25" s="328"/>
      <c r="V25" s="276"/>
      <c r="W25" s="277"/>
      <c r="X25" s="276"/>
      <c r="Y25" s="277"/>
      <c r="Z25" s="320"/>
      <c r="AA25" s="321"/>
      <c r="AN25" s="72" t="s">
        <v>56</v>
      </c>
      <c r="AO25" s="2" t="s">
        <v>54</v>
      </c>
    </row>
    <row r="26" spans="2:41" s="2" customFormat="1" ht="21.95" customHeight="1">
      <c r="D26" s="89"/>
      <c r="E26" s="89"/>
      <c r="J26" s="308"/>
      <c r="K26" s="309"/>
      <c r="L26" s="309"/>
      <c r="M26" s="310"/>
      <c r="N26" s="311"/>
      <c r="O26" s="312"/>
      <c r="P26" s="312"/>
      <c r="Q26" s="313"/>
      <c r="R26" s="263"/>
      <c r="S26" s="263"/>
      <c r="T26" s="314"/>
      <c r="U26" s="314"/>
      <c r="V26" s="264" t="str">
        <f>IF(N26="","",N26*P26*R26*0.034*$V$4)</f>
        <v/>
      </c>
      <c r="W26" s="264"/>
      <c r="X26" s="264" t="str">
        <f>IF(N26="","",IF(ISERROR(N26*P26*R26*0.034*$X$4),"-",N26*P26*R26*0.034*$X$4))</f>
        <v/>
      </c>
      <c r="Y26" s="264"/>
      <c r="Z26" s="264" t="str">
        <f>IF(N26="","",N26*P26*AN26)</f>
        <v/>
      </c>
      <c r="AA26" s="265"/>
      <c r="AD26" s="49"/>
      <c r="AN26" s="2">
        <f>IF(AO26="FALSE",R26,IF(T26="風除室",1/((1/R26)+0.1),0.5*R26+0.5*(1/((1/R26)+AO26))))</f>
        <v>0</v>
      </c>
      <c r="AO26" s="40" t="str">
        <f>IF(T26="","FALSE",IF(T26="雨戸",0.1,IF(T26="ｼｬｯﾀｰ",0.1,IF(T26="障子",0.18,IF(T26="風除室",0.1)))))</f>
        <v>FALSE</v>
      </c>
    </row>
    <row r="27" spans="2:41" s="2" customFormat="1" ht="21.95" customHeight="1">
      <c r="D27" s="89"/>
      <c r="E27" s="89"/>
      <c r="J27" s="302"/>
      <c r="K27" s="303"/>
      <c r="L27" s="303"/>
      <c r="M27" s="304"/>
      <c r="N27" s="250"/>
      <c r="O27" s="305"/>
      <c r="P27" s="306"/>
      <c r="Q27" s="251"/>
      <c r="R27" s="250"/>
      <c r="S27" s="251"/>
      <c r="T27" s="315"/>
      <c r="U27" s="316"/>
      <c r="V27" s="233" t="str">
        <f>IF(N27="","",N27*P27*R27*0.034*$V$4)</f>
        <v/>
      </c>
      <c r="W27" s="234"/>
      <c r="X27" s="233" t="str">
        <f>IF(N27="","",IF(ISERROR(N27*P27*R27*0.034*$X$4),"-",N27*P27*R27*0.034*$X$4))</f>
        <v/>
      </c>
      <c r="Y27" s="234"/>
      <c r="Z27" s="233" t="str">
        <f>IF(N27="","",N27*P27*AN27)</f>
        <v/>
      </c>
      <c r="AA27" s="256"/>
      <c r="AD27" s="49"/>
      <c r="AN27" s="2">
        <f>IF(AO27="FALSE",R27,IF(T27="風除室",1/((1/R27)+0.1),0.5*R27+0.5*(1/((1/R27)+AO27))))</f>
        <v>0</v>
      </c>
      <c r="AO27" s="40" t="str">
        <f>IF(T27="","FALSE",IF(T27="雨戸",0.1,IF(T27="ｼｬｯﾀｰ",0.1,IF(T27="障子",0.18,IF(T27="風除室",0.1)))))</f>
        <v>FALSE</v>
      </c>
    </row>
    <row r="28" spans="2:41" s="2" customFormat="1" ht="21.95" customHeight="1" thickBot="1">
      <c r="D28" s="89"/>
      <c r="E28" s="89"/>
      <c r="J28" s="294"/>
      <c r="K28" s="295"/>
      <c r="L28" s="295"/>
      <c r="M28" s="296"/>
      <c r="N28" s="297"/>
      <c r="O28" s="298"/>
      <c r="P28" s="298"/>
      <c r="Q28" s="299"/>
      <c r="R28" s="300"/>
      <c r="S28" s="300"/>
      <c r="T28" s="301"/>
      <c r="U28" s="301"/>
      <c r="V28" s="289" t="str">
        <f>IF(N28="","",N28*P28*R28*0.034*$V$4)</f>
        <v/>
      </c>
      <c r="W28" s="289"/>
      <c r="X28" s="289" t="str">
        <f>IF(N28="","",IF(ISERROR(N28*P28*R28*0.034*$X$4),"-",N28*P28*R28*0.034*$X$4))</f>
        <v/>
      </c>
      <c r="Y28" s="289"/>
      <c r="Z28" s="289" t="str">
        <f>IF(N28="","",N28*P28*AN28)</f>
        <v/>
      </c>
      <c r="AA28" s="290"/>
      <c r="AD28" s="49"/>
      <c r="AN28" s="2">
        <f>IF(AO28="FALSE",R28,IF(T28="風除室",1/((1/R28)+0.1),0.5*R28+0.5*(1/((1/R28)+AO28))))</f>
        <v>0</v>
      </c>
      <c r="AO28" s="40" t="str">
        <f>IF(T28="","FALSE",IF(T28="雨戸",0.1,IF(T28="ｼｬｯﾀｰ",0.1,IF(T28="障子",0.18,IF(T28="風除室",0.1)))))</f>
        <v>FALSE</v>
      </c>
    </row>
    <row r="29" spans="2:41" s="2" customFormat="1" ht="21.95" customHeight="1" thickBot="1">
      <c r="J29" s="218" t="s">
        <v>75</v>
      </c>
      <c r="K29" s="219"/>
      <c r="L29" s="219"/>
      <c r="M29" s="219"/>
      <c r="N29" s="219"/>
      <c r="O29" s="219"/>
      <c r="P29" s="219"/>
      <c r="Q29" s="219"/>
      <c r="R29" s="219"/>
      <c r="S29" s="219"/>
      <c r="T29" s="219"/>
      <c r="U29" s="366"/>
      <c r="V29" s="220">
        <f>SUM(V26:W28)</f>
        <v>0</v>
      </c>
      <c r="W29" s="220"/>
      <c r="X29" s="220">
        <f>SUM(X26:Y28)</f>
        <v>0</v>
      </c>
      <c r="Y29" s="220"/>
      <c r="Z29" s="220">
        <f>SUM(Z26:AA28)</f>
        <v>0</v>
      </c>
      <c r="AA29" s="221"/>
      <c r="AO29" s="40"/>
    </row>
    <row r="30" spans="2:41" s="2" customFormat="1" ht="9.9499999999999993" customHeight="1">
      <c r="J30" s="26"/>
      <c r="K30" s="26"/>
      <c r="L30" s="26"/>
      <c r="M30" s="26"/>
      <c r="N30" s="26"/>
      <c r="O30" s="26"/>
      <c r="P30" s="26"/>
      <c r="Q30" s="26"/>
      <c r="R30" s="26"/>
      <c r="S30" s="26"/>
      <c r="T30" s="26"/>
      <c r="U30" s="26"/>
      <c r="V30" s="73"/>
      <c r="W30" s="73"/>
      <c r="X30" s="73"/>
      <c r="Y30" s="73"/>
      <c r="Z30" s="73"/>
      <c r="AA30" s="73"/>
      <c r="AO30" s="40"/>
    </row>
    <row r="31" spans="2:41" s="2" customFormat="1" ht="21.95" customHeight="1" thickBot="1">
      <c r="J31" s="4" t="s">
        <v>15</v>
      </c>
      <c r="K31" s="4"/>
      <c r="L31" s="4"/>
      <c r="AO31" s="40"/>
    </row>
    <row r="32" spans="2:41" s="2" customFormat="1" ht="21.95" customHeight="1">
      <c r="J32" s="266" t="s">
        <v>0</v>
      </c>
      <c r="K32" s="267"/>
      <c r="L32" s="272" t="s">
        <v>159</v>
      </c>
      <c r="M32" s="273"/>
      <c r="N32" s="272" t="s">
        <v>160</v>
      </c>
      <c r="O32" s="273"/>
      <c r="P32" s="278" t="s">
        <v>161</v>
      </c>
      <c r="Q32" s="279"/>
      <c r="R32" s="284" t="s">
        <v>154</v>
      </c>
      <c r="S32" s="285"/>
      <c r="T32" s="284" t="s">
        <v>158</v>
      </c>
      <c r="U32" s="285"/>
      <c r="V32" s="284" t="s">
        <v>156</v>
      </c>
      <c r="W32" s="285"/>
      <c r="X32" s="284" t="s">
        <v>123</v>
      </c>
      <c r="Y32" s="291"/>
      <c r="AO32" s="40"/>
    </row>
    <row r="33" spans="2:41" s="2" customFormat="1" ht="21.95" customHeight="1">
      <c r="J33" s="268"/>
      <c r="K33" s="269"/>
      <c r="L33" s="274"/>
      <c r="M33" s="275"/>
      <c r="N33" s="274"/>
      <c r="O33" s="275"/>
      <c r="P33" s="280"/>
      <c r="Q33" s="281"/>
      <c r="R33" s="286"/>
      <c r="S33" s="286"/>
      <c r="T33" s="288"/>
      <c r="U33" s="286"/>
      <c r="V33" s="288"/>
      <c r="W33" s="286"/>
      <c r="X33" s="286"/>
      <c r="Y33" s="292"/>
      <c r="AO33" s="40"/>
    </row>
    <row r="34" spans="2:41" s="2" customFormat="1" ht="21.95" customHeight="1" thickBot="1">
      <c r="J34" s="270"/>
      <c r="K34" s="271"/>
      <c r="L34" s="276"/>
      <c r="M34" s="277"/>
      <c r="N34" s="276"/>
      <c r="O34" s="277"/>
      <c r="P34" s="282"/>
      <c r="Q34" s="283"/>
      <c r="R34" s="287"/>
      <c r="S34" s="287"/>
      <c r="T34" s="287"/>
      <c r="U34" s="287"/>
      <c r="V34" s="287"/>
      <c r="W34" s="287"/>
      <c r="X34" s="287"/>
      <c r="Y34" s="293"/>
    </row>
    <row r="35" spans="2:41" s="2" customFormat="1" ht="21.95" customHeight="1">
      <c r="J35" s="257"/>
      <c r="K35" s="258"/>
      <c r="L35" s="259"/>
      <c r="M35" s="260"/>
      <c r="N35" s="259"/>
      <c r="O35" s="260"/>
      <c r="P35" s="261" t="str">
        <f>IF(L35="","",L35-N35)</f>
        <v/>
      </c>
      <c r="Q35" s="262"/>
      <c r="R35" s="263"/>
      <c r="S35" s="263"/>
      <c r="T35" s="235" t="str">
        <f>IF(P35="","",P35*R35*0.034*$V$4)</f>
        <v/>
      </c>
      <c r="U35" s="235"/>
      <c r="V35" s="233" t="str">
        <f>IF(P35="","",IF(ISERROR(P35*R35*0.034*$X$4),"-",P35*R35*0.034*$X$4))</f>
        <v/>
      </c>
      <c r="W35" s="234"/>
      <c r="X35" s="264" t="str">
        <f>IF(R35="","",R35*P35)</f>
        <v/>
      </c>
      <c r="Y35" s="265"/>
      <c r="AD35" s="49"/>
      <c r="AE35" s="49"/>
      <c r="AF35" s="49"/>
    </row>
    <row r="36" spans="2:41" s="2" customFormat="1" ht="21.95" customHeight="1">
      <c r="J36" s="248"/>
      <c r="K36" s="249"/>
      <c r="L36" s="250"/>
      <c r="M36" s="251"/>
      <c r="N36" s="250"/>
      <c r="O36" s="251"/>
      <c r="P36" s="252" t="str">
        <f t="shared" ref="P36:P37" si="11">IF(L36="","",L36-N36)</f>
        <v/>
      </c>
      <c r="Q36" s="253"/>
      <c r="R36" s="250"/>
      <c r="S36" s="251"/>
      <c r="T36" s="233" t="str">
        <f t="shared" ref="T36:T39" si="12">IF(P36="","",P36*R36*0.034*$V$4)</f>
        <v/>
      </c>
      <c r="U36" s="234"/>
      <c r="V36" s="233" t="str">
        <f t="shared" ref="V36:V39" si="13">IF(P36="","",IF(ISERROR(P36*R36*0.034*$X$4),"-",P36*R36*0.034*$X$4))</f>
        <v/>
      </c>
      <c r="W36" s="234"/>
      <c r="X36" s="233" t="str">
        <f t="shared" ref="X36:X39" si="14">IF(R36="","",R36*P36)</f>
        <v/>
      </c>
      <c r="Y36" s="256"/>
      <c r="AD36" s="49"/>
      <c r="AE36" s="49"/>
      <c r="AF36" s="49"/>
    </row>
    <row r="37" spans="2:41" s="2" customFormat="1" ht="21.95" customHeight="1">
      <c r="J37" s="248"/>
      <c r="K37" s="249"/>
      <c r="L37" s="250"/>
      <c r="M37" s="251"/>
      <c r="N37" s="250"/>
      <c r="O37" s="251"/>
      <c r="P37" s="252" t="str">
        <f t="shared" si="11"/>
        <v/>
      </c>
      <c r="Q37" s="253"/>
      <c r="R37" s="250"/>
      <c r="S37" s="251"/>
      <c r="T37" s="233" t="str">
        <f t="shared" si="12"/>
        <v/>
      </c>
      <c r="U37" s="234"/>
      <c r="V37" s="233" t="str">
        <f t="shared" si="13"/>
        <v/>
      </c>
      <c r="W37" s="234"/>
      <c r="X37" s="233" t="str">
        <f t="shared" si="14"/>
        <v/>
      </c>
      <c r="Y37" s="256"/>
      <c r="AD37" s="49"/>
      <c r="AE37" s="49"/>
      <c r="AF37" s="49"/>
    </row>
    <row r="38" spans="2:41" s="2" customFormat="1" ht="21.95" customHeight="1">
      <c r="J38" s="248"/>
      <c r="K38" s="249"/>
      <c r="L38" s="250"/>
      <c r="M38" s="251"/>
      <c r="N38" s="250"/>
      <c r="O38" s="251"/>
      <c r="P38" s="252" t="str">
        <f>IF(L38="","",L38-N38)</f>
        <v/>
      </c>
      <c r="Q38" s="253"/>
      <c r="R38" s="254"/>
      <c r="S38" s="254"/>
      <c r="T38" s="235" t="str">
        <f t="shared" si="12"/>
        <v/>
      </c>
      <c r="U38" s="235"/>
      <c r="V38" s="233" t="str">
        <f t="shared" si="13"/>
        <v/>
      </c>
      <c r="W38" s="234"/>
      <c r="X38" s="235" t="str">
        <f t="shared" si="14"/>
        <v/>
      </c>
      <c r="Y38" s="236"/>
      <c r="AD38" s="49"/>
      <c r="AE38" s="49"/>
      <c r="AF38" s="49"/>
    </row>
    <row r="39" spans="2:41" s="2" customFormat="1" ht="21.95" customHeight="1" thickBot="1">
      <c r="J39" s="237"/>
      <c r="K39" s="238"/>
      <c r="L39" s="239"/>
      <c r="M39" s="240"/>
      <c r="N39" s="239"/>
      <c r="O39" s="240"/>
      <c r="P39" s="241" t="str">
        <f>IF(L39="","",L39-N39)</f>
        <v/>
      </c>
      <c r="Q39" s="242"/>
      <c r="R39" s="243"/>
      <c r="S39" s="243"/>
      <c r="T39" s="244" t="str">
        <f t="shared" si="12"/>
        <v/>
      </c>
      <c r="U39" s="244"/>
      <c r="V39" s="245" t="str">
        <f t="shared" si="13"/>
        <v/>
      </c>
      <c r="W39" s="246"/>
      <c r="X39" s="244" t="str">
        <f t="shared" si="14"/>
        <v/>
      </c>
      <c r="Y39" s="247"/>
      <c r="AD39" s="49"/>
      <c r="AE39" s="49"/>
      <c r="AF39" s="49"/>
    </row>
    <row r="40" spans="2:41" s="2" customFormat="1" ht="21.95" customHeight="1" thickBot="1">
      <c r="J40" s="218" t="s">
        <v>69</v>
      </c>
      <c r="K40" s="219"/>
      <c r="L40" s="219"/>
      <c r="M40" s="219"/>
      <c r="N40" s="219"/>
      <c r="O40" s="219"/>
      <c r="P40" s="219"/>
      <c r="Q40" s="219"/>
      <c r="R40" s="219"/>
      <c r="S40" s="219"/>
      <c r="T40" s="220">
        <f>SUM(T35:U39)</f>
        <v>0</v>
      </c>
      <c r="U40" s="220"/>
      <c r="V40" s="220">
        <f>IF(共通条件・結果!AA7="８地域","-",SUM(V35:W39))</f>
        <v>0</v>
      </c>
      <c r="W40" s="220"/>
      <c r="X40" s="220">
        <f>SUM(X35:Y39)</f>
        <v>0</v>
      </c>
      <c r="Y40" s="221"/>
    </row>
    <row r="41" spans="2:41" s="2" customFormat="1" ht="12">
      <c r="J41" s="74" t="s">
        <v>168</v>
      </c>
    </row>
    <row r="42" spans="2:41" s="2" customFormat="1" ht="21.95" customHeight="1" thickBot="1">
      <c r="B42" s="4" t="s">
        <v>192</v>
      </c>
    </row>
    <row r="43" spans="2:41" s="2" customFormat="1" ht="21.95" customHeight="1">
      <c r="B43" s="222" t="s">
        <v>193</v>
      </c>
      <c r="C43" s="223"/>
      <c r="D43" s="149" t="s">
        <v>37</v>
      </c>
      <c r="E43" s="150"/>
      <c r="F43" s="150"/>
      <c r="G43" s="150"/>
      <c r="H43" s="150"/>
      <c r="I43" s="150"/>
      <c r="J43" s="151"/>
      <c r="K43" s="68"/>
      <c r="L43" s="228">
        <f>Q43+U43+Y43</f>
        <v>0</v>
      </c>
      <c r="M43" s="228"/>
      <c r="N43" s="228"/>
      <c r="O43" s="68" t="s">
        <v>22</v>
      </c>
      <c r="P43" s="11" t="s">
        <v>21</v>
      </c>
      <c r="Q43" s="229">
        <f>D8*F8+D9*F9+D10*F10+D11*F11+D12*F12+D13*F13+D14*F14+D15*F15+D16*F16+D17*F17+D18*F18+D19*F19</f>
        <v>0</v>
      </c>
      <c r="R43" s="229"/>
      <c r="S43" s="75" t="s">
        <v>23</v>
      </c>
      <c r="T43" s="75" t="s">
        <v>20</v>
      </c>
      <c r="U43" s="230">
        <f>N26*P26+N27*P27+N28*P28</f>
        <v>0</v>
      </c>
      <c r="V43" s="230"/>
      <c r="W43" s="75" t="s">
        <v>23</v>
      </c>
      <c r="X43" s="75" t="s">
        <v>1</v>
      </c>
      <c r="Y43" s="232">
        <f>SUM(P35:Q39)</f>
        <v>0</v>
      </c>
      <c r="Z43" s="232"/>
      <c r="AA43" s="76" t="s">
        <v>17</v>
      </c>
    </row>
    <row r="44" spans="2:41" s="2" customFormat="1" ht="21.95" customHeight="1">
      <c r="B44" s="224"/>
      <c r="C44" s="225"/>
      <c r="D44" s="154" t="s">
        <v>47</v>
      </c>
      <c r="E44" s="155"/>
      <c r="F44" s="155"/>
      <c r="G44" s="155"/>
      <c r="H44" s="155"/>
      <c r="I44" s="155"/>
      <c r="J44" s="156"/>
      <c r="K44" s="71"/>
      <c r="L44" s="71"/>
      <c r="M44" s="71"/>
      <c r="N44" s="71"/>
      <c r="O44" s="71"/>
      <c r="P44" s="71"/>
      <c r="Q44" s="71"/>
      <c r="R44" s="71"/>
      <c r="S44" s="71"/>
      <c r="T44" s="71"/>
      <c r="U44" s="71"/>
      <c r="V44" s="71"/>
      <c r="W44" s="215">
        <f>V20+V29+T40</f>
        <v>0</v>
      </c>
      <c r="X44" s="215"/>
      <c r="Y44" s="215"/>
      <c r="Z44" s="216" t="s">
        <v>126</v>
      </c>
      <c r="AA44" s="217"/>
    </row>
    <row r="45" spans="2:41" s="2" customFormat="1" ht="21.95" customHeight="1">
      <c r="B45" s="224"/>
      <c r="C45" s="225"/>
      <c r="D45" s="154" t="s">
        <v>48</v>
      </c>
      <c r="E45" s="155"/>
      <c r="F45" s="155"/>
      <c r="G45" s="155"/>
      <c r="H45" s="155"/>
      <c r="I45" s="155"/>
      <c r="J45" s="156"/>
      <c r="K45" s="71"/>
      <c r="L45" s="71"/>
      <c r="M45" s="71"/>
      <c r="N45" s="71"/>
      <c r="O45" s="71"/>
      <c r="P45" s="71"/>
      <c r="Q45" s="71"/>
      <c r="R45" s="71"/>
      <c r="S45" s="71"/>
      <c r="T45" s="71"/>
      <c r="U45" s="71"/>
      <c r="V45" s="71"/>
      <c r="W45" s="215">
        <f>IF(共通条件・結果!AA7="８地域","-",$X$20+$X$29+$V$40)</f>
        <v>0</v>
      </c>
      <c r="X45" s="215"/>
      <c r="Y45" s="215"/>
      <c r="Z45" s="216" t="s">
        <v>126</v>
      </c>
      <c r="AA45" s="217"/>
    </row>
    <row r="46" spans="2:41" s="2" customFormat="1" ht="21.95" customHeight="1" thickBot="1">
      <c r="B46" s="226"/>
      <c r="C46" s="227"/>
      <c r="D46" s="142" t="s">
        <v>18</v>
      </c>
      <c r="E46" s="143"/>
      <c r="F46" s="143"/>
      <c r="G46" s="143"/>
      <c r="H46" s="143"/>
      <c r="I46" s="143"/>
      <c r="J46" s="144"/>
      <c r="K46" s="69"/>
      <c r="L46" s="69"/>
      <c r="M46" s="69"/>
      <c r="N46" s="69"/>
      <c r="O46" s="69"/>
      <c r="P46" s="69"/>
      <c r="Q46" s="69"/>
      <c r="R46" s="69"/>
      <c r="S46" s="69"/>
      <c r="T46" s="69"/>
      <c r="U46" s="69"/>
      <c r="V46" s="69"/>
      <c r="W46" s="255">
        <f>Z20+Z29+X40</f>
        <v>0</v>
      </c>
      <c r="X46" s="255"/>
      <c r="Y46" s="255"/>
      <c r="Z46" s="70" t="s">
        <v>19</v>
      </c>
      <c r="AA46" s="77"/>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a+LXlCJcKpqDdci6a/s9ufaKmGMzUAoh56KAkfqJDa+BViq4JMXBzZ33j9eWv9a8H/JmOhrv74BQ2spTaHD+MA==" saltValue="kaP5PlxSL7L/5KQKO7juZQ==" spinCount="100000"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Y43:Z43">
    <cfRule type="expression" dxfId="160" priority="23" stopIfTrue="1">
      <formula>$Y$43=0</formula>
    </cfRule>
  </conditionalFormatting>
  <conditionalFormatting sqref="Q43:R43">
    <cfRule type="expression" dxfId="159" priority="22" stopIfTrue="1">
      <formula>$Q$43=0</formula>
    </cfRule>
  </conditionalFormatting>
  <conditionalFormatting sqref="U43:V43">
    <cfRule type="expression" dxfId="158" priority="21" stopIfTrue="1">
      <formula>$U$43=0</formula>
    </cfRule>
  </conditionalFormatting>
  <conditionalFormatting sqref="L43:N43">
    <cfRule type="expression" dxfId="157" priority="20" stopIfTrue="1">
      <formula>$L$43=0</formula>
    </cfRule>
  </conditionalFormatting>
  <conditionalFormatting sqref="X8:Y8">
    <cfRule type="expression" dxfId="156" priority="18" stopIfTrue="1">
      <formula>#VALUE!</formula>
    </cfRule>
    <cfRule type="expression" dxfId="155" priority="19" stopIfTrue="1">
      <formula>#VALUE!</formula>
    </cfRule>
  </conditionalFormatting>
  <conditionalFormatting sqref="X19:Y19">
    <cfRule type="expression" dxfId="154" priority="17" stopIfTrue="1">
      <formula>#VALUE!</formula>
    </cfRule>
  </conditionalFormatting>
  <conditionalFormatting sqref="X8:Y8">
    <cfRule type="expression" dxfId="153" priority="15" stopIfTrue="1">
      <formula>#VALUE!</formula>
    </cfRule>
    <cfRule type="expression" dxfId="152" priority="16" stopIfTrue="1">
      <formula>#VALUE!</formula>
    </cfRule>
  </conditionalFormatting>
  <conditionalFormatting sqref="X19:Y19">
    <cfRule type="expression" dxfId="151" priority="14" stopIfTrue="1">
      <formula>#VALUE!</formula>
    </cfRule>
  </conditionalFormatting>
  <conditionalFormatting sqref="P8:U8">
    <cfRule type="expression" dxfId="150" priority="13" stopIfTrue="1">
      <formula>$AG$8=TRUE</formula>
    </cfRule>
  </conditionalFormatting>
  <conditionalFormatting sqref="P15:U15">
    <cfRule type="expression" dxfId="149" priority="12" stopIfTrue="1">
      <formula>$AG$15=TRUE</formula>
    </cfRule>
  </conditionalFormatting>
  <conditionalFormatting sqref="P16:U16">
    <cfRule type="expression" dxfId="148" priority="11" stopIfTrue="1">
      <formula>$AG$16=TRUE</formula>
    </cfRule>
  </conditionalFormatting>
  <conditionalFormatting sqref="P17:U17">
    <cfRule type="expression" dxfId="147" priority="10" stopIfTrue="1">
      <formula>$AG$17=TRUE</formula>
    </cfRule>
  </conditionalFormatting>
  <conditionalFormatting sqref="P18:U18">
    <cfRule type="expression" dxfId="146" priority="9" stopIfTrue="1">
      <formula>$AG$18=TRUE</formula>
    </cfRule>
  </conditionalFormatting>
  <conditionalFormatting sqref="P19:U19">
    <cfRule type="expression" dxfId="145" priority="8" stopIfTrue="1">
      <formula>$AG$19=TRUE</formula>
    </cfRule>
  </conditionalFormatting>
  <conditionalFormatting sqref="P10:U10">
    <cfRule type="expression" dxfId="144" priority="7" stopIfTrue="1">
      <formula>$AG$10=TRUE</formula>
    </cfRule>
  </conditionalFormatting>
  <conditionalFormatting sqref="P11:U11">
    <cfRule type="expression" dxfId="143" priority="6" stopIfTrue="1">
      <formula>$AG$11=TRUE</formula>
    </cfRule>
  </conditionalFormatting>
  <conditionalFormatting sqref="P14:U14">
    <cfRule type="expression" dxfId="142" priority="5" stopIfTrue="1">
      <formula>$AG$14=TRUE</formula>
    </cfRule>
  </conditionalFormatting>
  <conditionalFormatting sqref="P9:U9">
    <cfRule type="expression" dxfId="141" priority="4" stopIfTrue="1">
      <formula>$AG$9=TRUE</formula>
    </cfRule>
  </conditionalFormatting>
  <conditionalFormatting sqref="P12:U12">
    <cfRule type="expression" dxfId="140" priority="3">
      <formula>$AG$12=TRUE</formula>
    </cfRule>
  </conditionalFormatting>
  <conditionalFormatting sqref="P13:U13">
    <cfRule type="expression" dxfId="139" priority="2">
      <formula>$AG$13=TRUE</formula>
    </cfRule>
  </conditionalFormatting>
  <dataValidations count="1">
    <dataValidation type="list" allowBlank="1" showInputMessage="1" showErrorMessage="1" sqref="M14:M19 L8:L19 M8:M11 T26:T28 U26 U28" xr:uid="{35B732B9-3CBA-4B76-9A8F-3E8DC820EFFA}">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D8BF-B88F-4242-9BD5-66F6F38C5F29}">
  <sheetPr codeName="Sheet5"/>
  <dimension ref="B1:AO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9" width="3.875" customWidth="1"/>
    <col min="30" max="31" width="10.625" hidden="1" customWidth="1"/>
    <col min="32" max="32" width="2.625" hidden="1" customWidth="1"/>
    <col min="33" max="35" width="10.625" hidden="1" customWidth="1"/>
    <col min="36" max="36" width="2.625" hidden="1" customWidth="1"/>
    <col min="37" max="38" width="15.625" hidden="1" customWidth="1"/>
    <col min="39" max="39" width="2.625" hidden="1" customWidth="1"/>
    <col min="40" max="41" width="10.625" hidden="1" customWidth="1"/>
    <col min="42" max="43" width="3.625" customWidth="1"/>
    <col min="44" max="46" width="4.625" customWidth="1"/>
  </cols>
  <sheetData>
    <row r="1" spans="2:41" ht="3.95" customHeight="1"/>
    <row r="2" spans="2:41" s="1" customFormat="1" ht="30" customHeight="1">
      <c r="B2" s="379" t="s">
        <v>68</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row>
    <row r="3" spans="2:41" s="2" customFormat="1" ht="24.95" customHeight="1" thickBot="1"/>
    <row r="4" spans="2:41" s="2" customFormat="1" ht="21.95" customHeight="1" thickBot="1">
      <c r="B4" s="4" t="s">
        <v>5</v>
      </c>
      <c r="R4" s="380" t="s">
        <v>33</v>
      </c>
      <c r="S4" s="381"/>
      <c r="T4" s="381"/>
      <c r="U4" s="382"/>
      <c r="V4" s="383"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W4" s="384"/>
      <c r="X4" s="383"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Y4" s="384"/>
    </row>
    <row r="5" spans="2:41" s="2" customFormat="1" ht="21.95" customHeight="1">
      <c r="B5" s="385" t="s">
        <v>6</v>
      </c>
      <c r="C5" s="285"/>
      <c r="D5" s="285" t="s">
        <v>153</v>
      </c>
      <c r="E5" s="285"/>
      <c r="F5" s="285"/>
      <c r="G5" s="285"/>
      <c r="H5" s="284" t="s">
        <v>154</v>
      </c>
      <c r="I5" s="285"/>
      <c r="J5" s="284" t="s">
        <v>65</v>
      </c>
      <c r="K5" s="285"/>
      <c r="L5" s="284" t="s">
        <v>9</v>
      </c>
      <c r="M5" s="285"/>
      <c r="N5" s="388" t="s">
        <v>46</v>
      </c>
      <c r="O5" s="232"/>
      <c r="P5" s="232"/>
      <c r="Q5" s="232"/>
      <c r="R5" s="232"/>
      <c r="S5" s="232"/>
      <c r="T5" s="232"/>
      <c r="U5" s="232"/>
      <c r="V5" s="284" t="s">
        <v>155</v>
      </c>
      <c r="W5" s="285"/>
      <c r="X5" s="284" t="s">
        <v>156</v>
      </c>
      <c r="Y5" s="285"/>
      <c r="Z5" s="284" t="s">
        <v>123</v>
      </c>
      <c r="AA5" s="291"/>
    </row>
    <row r="6" spans="2:41" s="2" customFormat="1" ht="21.95" customHeight="1">
      <c r="B6" s="386"/>
      <c r="C6" s="286"/>
      <c r="D6" s="367" t="s">
        <v>8</v>
      </c>
      <c r="E6" s="368"/>
      <c r="F6" s="371" t="s">
        <v>7</v>
      </c>
      <c r="G6" s="372"/>
      <c r="H6" s="286"/>
      <c r="I6" s="286"/>
      <c r="J6" s="288"/>
      <c r="K6" s="286"/>
      <c r="L6" s="288"/>
      <c r="M6" s="286"/>
      <c r="N6" s="373" t="s">
        <v>45</v>
      </c>
      <c r="O6" s="374"/>
      <c r="P6" s="376" t="s">
        <v>157</v>
      </c>
      <c r="Q6" s="377"/>
      <c r="R6" s="377"/>
      <c r="S6" s="377"/>
      <c r="T6" s="377"/>
      <c r="U6" s="378"/>
      <c r="V6" s="288"/>
      <c r="W6" s="286"/>
      <c r="X6" s="288"/>
      <c r="Y6" s="286"/>
      <c r="Z6" s="286"/>
      <c r="AA6" s="292"/>
      <c r="AD6" s="307" t="s">
        <v>49</v>
      </c>
      <c r="AE6" s="307"/>
      <c r="AF6" s="40"/>
      <c r="AG6" s="40"/>
      <c r="AH6" s="307" t="s">
        <v>12</v>
      </c>
      <c r="AI6" s="307"/>
      <c r="AJ6" s="40"/>
      <c r="AK6" s="307" t="s">
        <v>50</v>
      </c>
      <c r="AL6" s="307"/>
      <c r="AN6" s="307" t="s">
        <v>58</v>
      </c>
      <c r="AO6" s="307"/>
    </row>
    <row r="7" spans="2:41" s="2" customFormat="1" ht="21.95" customHeight="1" thickBot="1">
      <c r="B7" s="387"/>
      <c r="C7" s="287"/>
      <c r="D7" s="369"/>
      <c r="E7" s="370"/>
      <c r="F7" s="317"/>
      <c r="G7" s="271"/>
      <c r="H7" s="287"/>
      <c r="I7" s="287"/>
      <c r="J7" s="287"/>
      <c r="K7" s="287"/>
      <c r="L7" s="287"/>
      <c r="M7" s="287"/>
      <c r="N7" s="276"/>
      <c r="O7" s="375"/>
      <c r="P7" s="271" t="s">
        <v>10</v>
      </c>
      <c r="Q7" s="320"/>
      <c r="R7" s="364" t="s">
        <v>11</v>
      </c>
      <c r="S7" s="365"/>
      <c r="T7" s="271" t="s">
        <v>3</v>
      </c>
      <c r="U7" s="320"/>
      <c r="V7" s="287"/>
      <c r="W7" s="287"/>
      <c r="X7" s="287"/>
      <c r="Y7" s="287"/>
      <c r="Z7" s="287"/>
      <c r="AA7" s="293"/>
      <c r="AD7" s="40" t="s">
        <v>4</v>
      </c>
      <c r="AE7" s="40" t="s">
        <v>16</v>
      </c>
      <c r="AF7" s="40"/>
      <c r="AG7" s="40"/>
      <c r="AH7" s="40" t="s">
        <v>4</v>
      </c>
      <c r="AI7" s="40" t="s">
        <v>16</v>
      </c>
      <c r="AJ7" s="40"/>
      <c r="AK7" s="40" t="s">
        <v>4</v>
      </c>
      <c r="AL7" s="40" t="s">
        <v>16</v>
      </c>
      <c r="AN7" s="72" t="s">
        <v>56</v>
      </c>
      <c r="AO7" s="2" t="s">
        <v>54</v>
      </c>
    </row>
    <row r="8" spans="2:41" s="2" customFormat="1" ht="21.95" customHeight="1">
      <c r="B8" s="257"/>
      <c r="C8" s="363"/>
      <c r="D8" s="311"/>
      <c r="E8" s="312"/>
      <c r="F8" s="312"/>
      <c r="G8" s="313"/>
      <c r="H8" s="263"/>
      <c r="I8" s="263"/>
      <c r="J8" s="263"/>
      <c r="K8" s="263"/>
      <c r="L8" s="335"/>
      <c r="M8" s="335"/>
      <c r="N8" s="355"/>
      <c r="O8" s="356"/>
      <c r="P8" s="357"/>
      <c r="Q8" s="358"/>
      <c r="R8" s="359"/>
      <c r="S8" s="360"/>
      <c r="T8" s="361"/>
      <c r="U8" s="357"/>
      <c r="V8" s="362" t="str">
        <f>IF(D8="","",AD8)</f>
        <v/>
      </c>
      <c r="W8" s="362"/>
      <c r="X8" s="362" t="str">
        <f t="shared" ref="X8:X19" si="0">IF(D8="","",IF(ISERROR(AE8),"-",AE8))</f>
        <v/>
      </c>
      <c r="Y8" s="362"/>
      <c r="Z8" s="362" t="str">
        <f>IF(D8="","",D8*F8*AN8)</f>
        <v/>
      </c>
      <c r="AA8" s="389"/>
      <c r="AD8" s="2" t="e">
        <f>D8*F8*J8*$V$4*AH8</f>
        <v>#VALUE!</v>
      </c>
      <c r="AE8" s="2" t="e">
        <f>D8*F8*J8*$X$4*AI8</f>
        <v>#VALUE!</v>
      </c>
      <c r="AG8" s="49"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1">IF(L8="","FALSE",IF(L8="雨戸",0.1,IF(L8="ｼｬｯﾀｰ",0.1,IF(L8="障子",0.18,IF(L8="風除室",0.1)))))</f>
        <v>FALSE</v>
      </c>
    </row>
    <row r="9" spans="2:41" s="2" customFormat="1" ht="21.95" customHeight="1">
      <c r="B9" s="248"/>
      <c r="C9" s="349"/>
      <c r="D9" s="350"/>
      <c r="E9" s="351"/>
      <c r="F9" s="351"/>
      <c r="G9" s="352"/>
      <c r="H9" s="254"/>
      <c r="I9" s="254"/>
      <c r="J9" s="254"/>
      <c r="K9" s="254"/>
      <c r="L9" s="301"/>
      <c r="M9" s="301"/>
      <c r="N9" s="341"/>
      <c r="O9" s="342"/>
      <c r="P9" s="343"/>
      <c r="Q9" s="344"/>
      <c r="R9" s="345"/>
      <c r="S9" s="346"/>
      <c r="T9" s="347"/>
      <c r="U9" s="343"/>
      <c r="V9" s="235" t="str">
        <f t="shared" ref="V9:V19" si="2">IF(D9="","",AD9)</f>
        <v/>
      </c>
      <c r="W9" s="235"/>
      <c r="X9" s="235" t="str">
        <f t="shared" si="0"/>
        <v/>
      </c>
      <c r="Y9" s="235"/>
      <c r="Z9" s="235" t="str">
        <f t="shared" ref="Z9:Z19" si="3">IF(D9="","",D9*F9*AN9)</f>
        <v/>
      </c>
      <c r="AA9" s="236"/>
      <c r="AD9" s="2" t="e">
        <f t="shared" ref="AD9:AD19" si="4">D9*F9*J9*$V$4*AH9</f>
        <v>#VALUE!</v>
      </c>
      <c r="AE9" s="2" t="e">
        <f t="shared" ref="AE9:AE19" si="5">D9*F9*J9*$X$4*AI9</f>
        <v>#VALUE!</v>
      </c>
      <c r="AG9" s="49"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1"/>
        <v>FALSE</v>
      </c>
    </row>
    <row r="10" spans="2:41" s="2" customFormat="1" ht="21.95" customHeight="1">
      <c r="B10" s="248"/>
      <c r="C10" s="349"/>
      <c r="D10" s="350"/>
      <c r="E10" s="351"/>
      <c r="F10" s="351"/>
      <c r="G10" s="352"/>
      <c r="H10" s="254"/>
      <c r="I10" s="254"/>
      <c r="J10" s="254"/>
      <c r="K10" s="254"/>
      <c r="L10" s="301"/>
      <c r="M10" s="301"/>
      <c r="N10" s="341"/>
      <c r="O10" s="342"/>
      <c r="P10" s="344"/>
      <c r="Q10" s="353"/>
      <c r="R10" s="348"/>
      <c r="S10" s="353"/>
      <c r="T10" s="348"/>
      <c r="U10" s="347"/>
      <c r="V10" s="235" t="str">
        <f t="shared" si="2"/>
        <v/>
      </c>
      <c r="W10" s="235"/>
      <c r="X10" s="235" t="str">
        <f t="shared" si="0"/>
        <v/>
      </c>
      <c r="Y10" s="235"/>
      <c r="Z10" s="235" t="str">
        <f t="shared" si="3"/>
        <v/>
      </c>
      <c r="AA10" s="236"/>
      <c r="AD10" s="2" t="e">
        <f t="shared" si="4"/>
        <v>#VALUE!</v>
      </c>
      <c r="AE10" s="2" t="e">
        <f t="shared" si="5"/>
        <v>#VALUE!</v>
      </c>
      <c r="AG10" s="49" t="b">
        <v>0</v>
      </c>
      <c r="AH10" s="2" t="str">
        <f t="shared" si="6"/>
        <v>エラー</v>
      </c>
      <c r="AI10" s="2" t="str">
        <f t="shared" si="7"/>
        <v>エラー</v>
      </c>
      <c r="AK10" s="2" t="e">
        <f t="shared" si="8"/>
        <v>#DIV/0!</v>
      </c>
      <c r="AL10" s="2" t="e">
        <f t="shared" si="9"/>
        <v>#DIV/0!</v>
      </c>
      <c r="AN10" s="2">
        <f t="shared" si="10"/>
        <v>0</v>
      </c>
      <c r="AO10" s="40" t="str">
        <f t="shared" si="1"/>
        <v>FALSE</v>
      </c>
    </row>
    <row r="11" spans="2:41" s="2" customFormat="1" ht="21.95" customHeight="1">
      <c r="B11" s="248"/>
      <c r="C11" s="349"/>
      <c r="D11" s="350"/>
      <c r="E11" s="351"/>
      <c r="F11" s="351"/>
      <c r="G11" s="352"/>
      <c r="H11" s="254"/>
      <c r="I11" s="254"/>
      <c r="J11" s="254"/>
      <c r="K11" s="254"/>
      <c r="L11" s="301"/>
      <c r="M11" s="301"/>
      <c r="N11" s="341"/>
      <c r="O11" s="342"/>
      <c r="P11" s="344"/>
      <c r="Q11" s="353"/>
      <c r="R11" s="348"/>
      <c r="S11" s="353"/>
      <c r="T11" s="348"/>
      <c r="U11" s="347"/>
      <c r="V11" s="235" t="str">
        <f t="shared" si="2"/>
        <v/>
      </c>
      <c r="W11" s="235"/>
      <c r="X11" s="235" t="str">
        <f t="shared" si="0"/>
        <v/>
      </c>
      <c r="Y11" s="235"/>
      <c r="Z11" s="235" t="str">
        <f t="shared" si="3"/>
        <v/>
      </c>
      <c r="AA11" s="236"/>
      <c r="AD11" s="2" t="e">
        <f t="shared" si="4"/>
        <v>#VALUE!</v>
      </c>
      <c r="AE11" s="2" t="e">
        <f t="shared" si="5"/>
        <v>#VALUE!</v>
      </c>
      <c r="AG11" s="49" t="b">
        <v>0</v>
      </c>
      <c r="AH11" s="2" t="str">
        <f t="shared" si="6"/>
        <v>エラー</v>
      </c>
      <c r="AI11" s="2" t="str">
        <f t="shared" si="7"/>
        <v>エラー</v>
      </c>
      <c r="AK11" s="2" t="e">
        <f t="shared" si="8"/>
        <v>#DIV/0!</v>
      </c>
      <c r="AL11" s="2" t="e">
        <f t="shared" si="9"/>
        <v>#DIV/0!</v>
      </c>
      <c r="AN11" s="2">
        <f t="shared" si="10"/>
        <v>0</v>
      </c>
      <c r="AO11" s="40" t="str">
        <f t="shared" si="1"/>
        <v>FALSE</v>
      </c>
    </row>
    <row r="12" spans="2:41" s="2" customFormat="1" ht="21.95" customHeight="1">
      <c r="B12" s="248"/>
      <c r="C12" s="249"/>
      <c r="D12" s="250"/>
      <c r="E12" s="305"/>
      <c r="F12" s="306"/>
      <c r="G12" s="251"/>
      <c r="H12" s="250"/>
      <c r="I12" s="251"/>
      <c r="J12" s="250"/>
      <c r="K12" s="251"/>
      <c r="L12" s="315"/>
      <c r="M12" s="316"/>
      <c r="N12" s="341"/>
      <c r="O12" s="354"/>
      <c r="P12" s="344"/>
      <c r="Q12" s="353"/>
      <c r="R12" s="348"/>
      <c r="S12" s="353"/>
      <c r="T12" s="348"/>
      <c r="U12" s="347"/>
      <c r="V12" s="233" t="str">
        <f t="shared" si="2"/>
        <v/>
      </c>
      <c r="W12" s="234"/>
      <c r="X12" s="233" t="str">
        <f t="shared" si="0"/>
        <v/>
      </c>
      <c r="Y12" s="234"/>
      <c r="Z12" s="233" t="str">
        <f t="shared" si="3"/>
        <v/>
      </c>
      <c r="AA12" s="256"/>
      <c r="AD12" s="2" t="e">
        <f t="shared" si="4"/>
        <v>#VALUE!</v>
      </c>
      <c r="AE12" s="2" t="e">
        <f t="shared" si="5"/>
        <v>#VALUE!</v>
      </c>
      <c r="AG12" s="49" t="b">
        <v>0</v>
      </c>
      <c r="AH12" s="2" t="str">
        <f t="shared" si="6"/>
        <v>エラー</v>
      </c>
      <c r="AI12" s="2" t="str">
        <f t="shared" si="7"/>
        <v>エラー</v>
      </c>
      <c r="AK12" s="2" t="e">
        <f t="shared" si="8"/>
        <v>#DIV/0!</v>
      </c>
      <c r="AL12" s="2" t="e">
        <f t="shared" si="9"/>
        <v>#DIV/0!</v>
      </c>
      <c r="AN12" s="2">
        <f t="shared" si="10"/>
        <v>0</v>
      </c>
      <c r="AO12" s="40" t="str">
        <f t="shared" si="1"/>
        <v>FALSE</v>
      </c>
    </row>
    <row r="13" spans="2:41" s="2" customFormat="1" ht="21.95" customHeight="1">
      <c r="B13" s="248"/>
      <c r="C13" s="249"/>
      <c r="D13" s="250"/>
      <c r="E13" s="305"/>
      <c r="F13" s="306"/>
      <c r="G13" s="251"/>
      <c r="H13" s="250"/>
      <c r="I13" s="251"/>
      <c r="J13" s="250"/>
      <c r="K13" s="251"/>
      <c r="L13" s="315"/>
      <c r="M13" s="316"/>
      <c r="N13" s="341"/>
      <c r="O13" s="354"/>
      <c r="P13" s="344"/>
      <c r="Q13" s="353"/>
      <c r="R13" s="348"/>
      <c r="S13" s="353"/>
      <c r="T13" s="348"/>
      <c r="U13" s="347"/>
      <c r="V13" s="233" t="str">
        <f t="shared" si="2"/>
        <v/>
      </c>
      <c r="W13" s="234"/>
      <c r="X13" s="233" t="str">
        <f t="shared" si="0"/>
        <v/>
      </c>
      <c r="Y13" s="234"/>
      <c r="Z13" s="233" t="str">
        <f t="shared" si="3"/>
        <v/>
      </c>
      <c r="AA13" s="256"/>
      <c r="AD13" s="2" t="e">
        <f t="shared" si="4"/>
        <v>#VALUE!</v>
      </c>
      <c r="AE13" s="2" t="e">
        <f t="shared" si="5"/>
        <v>#VALUE!</v>
      </c>
      <c r="AG13" s="49" t="b">
        <v>0</v>
      </c>
      <c r="AH13" s="2" t="str">
        <f t="shared" si="6"/>
        <v>エラー</v>
      </c>
      <c r="AI13" s="2" t="str">
        <f t="shared" si="7"/>
        <v>エラー</v>
      </c>
      <c r="AK13" s="2" t="e">
        <f t="shared" si="8"/>
        <v>#DIV/0!</v>
      </c>
      <c r="AL13" s="2" t="e">
        <f t="shared" si="9"/>
        <v>#DIV/0!</v>
      </c>
      <c r="AN13" s="2">
        <f t="shared" si="10"/>
        <v>0</v>
      </c>
      <c r="AO13" s="40" t="str">
        <f t="shared" si="1"/>
        <v>FALSE</v>
      </c>
    </row>
    <row r="14" spans="2:41" s="2" customFormat="1" ht="21.95" customHeight="1">
      <c r="B14" s="248"/>
      <c r="C14" s="349"/>
      <c r="D14" s="350"/>
      <c r="E14" s="351"/>
      <c r="F14" s="351"/>
      <c r="G14" s="352"/>
      <c r="H14" s="254"/>
      <c r="I14" s="254"/>
      <c r="J14" s="254"/>
      <c r="K14" s="254"/>
      <c r="L14" s="301"/>
      <c r="M14" s="301"/>
      <c r="N14" s="341"/>
      <c r="O14" s="342"/>
      <c r="P14" s="344"/>
      <c r="Q14" s="353"/>
      <c r="R14" s="348"/>
      <c r="S14" s="353"/>
      <c r="T14" s="348"/>
      <c r="U14" s="347"/>
      <c r="V14" s="235" t="str">
        <f t="shared" si="2"/>
        <v/>
      </c>
      <c r="W14" s="235"/>
      <c r="X14" s="235" t="str">
        <f t="shared" si="0"/>
        <v/>
      </c>
      <c r="Y14" s="235"/>
      <c r="Z14" s="235" t="str">
        <f t="shared" si="3"/>
        <v/>
      </c>
      <c r="AA14" s="236"/>
      <c r="AD14" s="2" t="e">
        <f t="shared" si="4"/>
        <v>#VALUE!</v>
      </c>
      <c r="AE14" s="2" t="e">
        <f t="shared" si="5"/>
        <v>#VALUE!</v>
      </c>
      <c r="AG14" s="49" t="b">
        <v>0</v>
      </c>
      <c r="AH14" s="2" t="str">
        <f t="shared" si="6"/>
        <v>エラー</v>
      </c>
      <c r="AI14" s="2" t="str">
        <f t="shared" si="7"/>
        <v>エラー</v>
      </c>
      <c r="AK14" s="2" t="e">
        <f t="shared" si="8"/>
        <v>#DIV/0!</v>
      </c>
      <c r="AL14" s="2" t="e">
        <f t="shared" si="9"/>
        <v>#DIV/0!</v>
      </c>
      <c r="AN14" s="2">
        <f t="shared" si="10"/>
        <v>0</v>
      </c>
      <c r="AO14" s="40" t="str">
        <f t="shared" si="1"/>
        <v>FALSE</v>
      </c>
    </row>
    <row r="15" spans="2:41" s="2" customFormat="1" ht="21.95" customHeight="1">
      <c r="B15" s="248"/>
      <c r="C15" s="349"/>
      <c r="D15" s="350"/>
      <c r="E15" s="351"/>
      <c r="F15" s="351"/>
      <c r="G15" s="352"/>
      <c r="H15" s="254"/>
      <c r="I15" s="254"/>
      <c r="J15" s="254"/>
      <c r="K15" s="254"/>
      <c r="L15" s="301"/>
      <c r="M15" s="301"/>
      <c r="N15" s="341"/>
      <c r="O15" s="342"/>
      <c r="P15" s="344"/>
      <c r="Q15" s="353"/>
      <c r="R15" s="348"/>
      <c r="S15" s="353"/>
      <c r="T15" s="348"/>
      <c r="U15" s="347"/>
      <c r="V15" s="233" t="str">
        <f t="shared" si="2"/>
        <v/>
      </c>
      <c r="W15" s="234"/>
      <c r="X15" s="235" t="str">
        <f t="shared" si="0"/>
        <v/>
      </c>
      <c r="Y15" s="235"/>
      <c r="Z15" s="235" t="str">
        <f t="shared" si="3"/>
        <v/>
      </c>
      <c r="AA15" s="236"/>
      <c r="AD15" s="2" t="e">
        <f t="shared" si="4"/>
        <v>#VALUE!</v>
      </c>
      <c r="AE15" s="2" t="e">
        <f t="shared" si="5"/>
        <v>#VALUE!</v>
      </c>
      <c r="AG15" s="49" t="b">
        <v>0</v>
      </c>
      <c r="AH15" s="2" t="str">
        <f t="shared" si="6"/>
        <v>エラー</v>
      </c>
      <c r="AI15" s="2" t="str">
        <f t="shared" si="7"/>
        <v>エラー</v>
      </c>
      <c r="AK15" s="2" t="e">
        <f t="shared" si="8"/>
        <v>#DIV/0!</v>
      </c>
      <c r="AL15" s="2" t="e">
        <f t="shared" si="9"/>
        <v>#DIV/0!</v>
      </c>
      <c r="AN15" s="2">
        <f t="shared" si="10"/>
        <v>0</v>
      </c>
      <c r="AO15" s="40" t="str">
        <f t="shared" si="1"/>
        <v>FALSE</v>
      </c>
    </row>
    <row r="16" spans="2:41" s="2" customFormat="1" ht="21.95" customHeight="1">
      <c r="B16" s="248"/>
      <c r="C16" s="349"/>
      <c r="D16" s="350"/>
      <c r="E16" s="351"/>
      <c r="F16" s="351"/>
      <c r="G16" s="352"/>
      <c r="H16" s="254"/>
      <c r="I16" s="254"/>
      <c r="J16" s="254"/>
      <c r="K16" s="254"/>
      <c r="L16" s="301"/>
      <c r="M16" s="301"/>
      <c r="N16" s="341"/>
      <c r="O16" s="342"/>
      <c r="P16" s="344"/>
      <c r="Q16" s="353"/>
      <c r="R16" s="348"/>
      <c r="S16" s="353"/>
      <c r="T16" s="348"/>
      <c r="U16" s="347"/>
      <c r="V16" s="233" t="str">
        <f t="shared" si="2"/>
        <v/>
      </c>
      <c r="W16" s="234"/>
      <c r="X16" s="235" t="str">
        <f t="shared" si="0"/>
        <v/>
      </c>
      <c r="Y16" s="235"/>
      <c r="Z16" s="235" t="str">
        <f t="shared" si="3"/>
        <v/>
      </c>
      <c r="AA16" s="236"/>
      <c r="AD16" s="2" t="e">
        <f t="shared" si="4"/>
        <v>#VALUE!</v>
      </c>
      <c r="AE16" s="2" t="e">
        <f t="shared" si="5"/>
        <v>#VALUE!</v>
      </c>
      <c r="AG16" s="49" t="b">
        <v>0</v>
      </c>
      <c r="AH16" s="2" t="str">
        <f t="shared" si="6"/>
        <v>エラー</v>
      </c>
      <c r="AI16" s="2" t="str">
        <f t="shared" si="7"/>
        <v>エラー</v>
      </c>
      <c r="AK16" s="2" t="e">
        <f t="shared" si="8"/>
        <v>#DIV/0!</v>
      </c>
      <c r="AL16" s="2" t="e">
        <f t="shared" si="9"/>
        <v>#DIV/0!</v>
      </c>
      <c r="AN16" s="2">
        <f t="shared" si="10"/>
        <v>0</v>
      </c>
      <c r="AO16" s="40" t="str">
        <f t="shared" si="1"/>
        <v>FALSE</v>
      </c>
    </row>
    <row r="17" spans="2:41" s="2" customFormat="1" ht="21.95" customHeight="1">
      <c r="B17" s="248"/>
      <c r="C17" s="349"/>
      <c r="D17" s="350"/>
      <c r="E17" s="351"/>
      <c r="F17" s="351"/>
      <c r="G17" s="352"/>
      <c r="H17" s="254"/>
      <c r="I17" s="254"/>
      <c r="J17" s="254"/>
      <c r="K17" s="254"/>
      <c r="L17" s="301"/>
      <c r="M17" s="301"/>
      <c r="N17" s="341"/>
      <c r="O17" s="342"/>
      <c r="P17" s="343"/>
      <c r="Q17" s="344"/>
      <c r="R17" s="348"/>
      <c r="S17" s="353"/>
      <c r="T17" s="348"/>
      <c r="U17" s="347"/>
      <c r="V17" s="233" t="str">
        <f t="shared" si="2"/>
        <v/>
      </c>
      <c r="W17" s="234"/>
      <c r="X17" s="235" t="str">
        <f t="shared" si="0"/>
        <v/>
      </c>
      <c r="Y17" s="235"/>
      <c r="Z17" s="235" t="str">
        <f t="shared" si="3"/>
        <v/>
      </c>
      <c r="AA17" s="236"/>
      <c r="AD17" s="2" t="e">
        <f t="shared" si="4"/>
        <v>#VALUE!</v>
      </c>
      <c r="AE17" s="2" t="e">
        <f t="shared" si="5"/>
        <v>#VALUE!</v>
      </c>
      <c r="AG17" s="49" t="b">
        <v>0</v>
      </c>
      <c r="AH17" s="2" t="str">
        <f t="shared" si="6"/>
        <v>エラー</v>
      </c>
      <c r="AI17" s="2" t="str">
        <f t="shared" si="7"/>
        <v>エラー</v>
      </c>
      <c r="AK17" s="2" t="e">
        <f t="shared" si="8"/>
        <v>#DIV/0!</v>
      </c>
      <c r="AL17" s="2" t="e">
        <f t="shared" si="9"/>
        <v>#DIV/0!</v>
      </c>
      <c r="AN17" s="2">
        <f t="shared" si="10"/>
        <v>0</v>
      </c>
      <c r="AO17" s="40" t="str">
        <f t="shared" si="1"/>
        <v>FALSE</v>
      </c>
    </row>
    <row r="18" spans="2:41" s="2" customFormat="1" ht="21.95" customHeight="1">
      <c r="B18" s="248"/>
      <c r="C18" s="349"/>
      <c r="D18" s="350"/>
      <c r="E18" s="351"/>
      <c r="F18" s="351"/>
      <c r="G18" s="352"/>
      <c r="H18" s="254"/>
      <c r="I18" s="254"/>
      <c r="J18" s="254"/>
      <c r="K18" s="254"/>
      <c r="L18" s="301"/>
      <c r="M18" s="301"/>
      <c r="N18" s="341"/>
      <c r="O18" s="342"/>
      <c r="P18" s="343"/>
      <c r="Q18" s="344"/>
      <c r="R18" s="345"/>
      <c r="S18" s="346"/>
      <c r="T18" s="347"/>
      <c r="U18" s="343"/>
      <c r="V18" s="233" t="str">
        <f t="shared" si="2"/>
        <v/>
      </c>
      <c r="W18" s="234"/>
      <c r="X18" s="235" t="str">
        <f t="shared" si="0"/>
        <v/>
      </c>
      <c r="Y18" s="235"/>
      <c r="Z18" s="235" t="str">
        <f t="shared" si="3"/>
        <v/>
      </c>
      <c r="AA18" s="236"/>
      <c r="AD18" s="2" t="e">
        <f t="shared" si="4"/>
        <v>#VALUE!</v>
      </c>
      <c r="AE18" s="2" t="e">
        <f t="shared" si="5"/>
        <v>#VALUE!</v>
      </c>
      <c r="AG18" s="49" t="b">
        <v>0</v>
      </c>
      <c r="AH18" s="2" t="str">
        <f t="shared" si="6"/>
        <v>エラー</v>
      </c>
      <c r="AI18" s="2" t="str">
        <f t="shared" si="7"/>
        <v>エラー</v>
      </c>
      <c r="AK18" s="2" t="e">
        <f t="shared" si="8"/>
        <v>#DIV/0!</v>
      </c>
      <c r="AL18" s="2" t="e">
        <f t="shared" si="9"/>
        <v>#DIV/0!</v>
      </c>
      <c r="AN18" s="2">
        <f t="shared" si="10"/>
        <v>0</v>
      </c>
      <c r="AO18" s="40" t="str">
        <f t="shared" si="1"/>
        <v>FALSE</v>
      </c>
    </row>
    <row r="19" spans="2:41" s="2" customFormat="1" ht="21.95" customHeight="1" thickBot="1">
      <c r="B19" s="237"/>
      <c r="C19" s="334"/>
      <c r="D19" s="297"/>
      <c r="E19" s="298"/>
      <c r="F19" s="298"/>
      <c r="G19" s="299"/>
      <c r="H19" s="300"/>
      <c r="I19" s="300"/>
      <c r="J19" s="300"/>
      <c r="K19" s="300"/>
      <c r="L19" s="335"/>
      <c r="M19" s="335"/>
      <c r="N19" s="336"/>
      <c r="O19" s="337"/>
      <c r="P19" s="333"/>
      <c r="Q19" s="338"/>
      <c r="R19" s="339"/>
      <c r="S19" s="340"/>
      <c r="T19" s="332"/>
      <c r="U19" s="333"/>
      <c r="V19" s="233" t="str">
        <f t="shared" si="2"/>
        <v/>
      </c>
      <c r="W19" s="234"/>
      <c r="X19" s="235" t="str">
        <f t="shared" si="0"/>
        <v/>
      </c>
      <c r="Y19" s="235"/>
      <c r="Z19" s="244" t="str">
        <f t="shared" si="3"/>
        <v/>
      </c>
      <c r="AA19" s="247"/>
      <c r="AD19" s="2" t="e">
        <f t="shared" si="4"/>
        <v>#VALUE!</v>
      </c>
      <c r="AE19" s="2" t="e">
        <f t="shared" si="5"/>
        <v>#VALUE!</v>
      </c>
      <c r="AG19" s="49" t="b">
        <v>0</v>
      </c>
      <c r="AH19" s="2" t="str">
        <f t="shared" si="6"/>
        <v>エラー</v>
      </c>
      <c r="AI19" s="2" t="str">
        <f t="shared" si="7"/>
        <v>エラー</v>
      </c>
      <c r="AK19" s="2" t="e">
        <f t="shared" si="8"/>
        <v>#DIV/0!</v>
      </c>
      <c r="AL19" s="2" t="e">
        <f t="shared" si="9"/>
        <v>#DIV/0!</v>
      </c>
      <c r="AN19" s="2">
        <f t="shared" si="10"/>
        <v>0</v>
      </c>
      <c r="AO19" s="40" t="str">
        <f t="shared" si="1"/>
        <v>FALSE</v>
      </c>
    </row>
    <row r="20" spans="2:41" s="2" customFormat="1" ht="21.95" customHeight="1" thickBot="1">
      <c r="B20" s="218" t="s">
        <v>70</v>
      </c>
      <c r="C20" s="219"/>
      <c r="D20" s="219"/>
      <c r="E20" s="219"/>
      <c r="F20" s="219"/>
      <c r="G20" s="219"/>
      <c r="H20" s="219"/>
      <c r="I20" s="219"/>
      <c r="J20" s="219"/>
      <c r="K20" s="219"/>
      <c r="L20" s="219"/>
      <c r="M20" s="219"/>
      <c r="N20" s="219"/>
      <c r="O20" s="219"/>
      <c r="P20" s="219"/>
      <c r="Q20" s="219"/>
      <c r="R20" s="219"/>
      <c r="S20" s="219"/>
      <c r="T20" s="219"/>
      <c r="U20" s="219"/>
      <c r="V20" s="220">
        <f>SUM(V8:W19)</f>
        <v>0</v>
      </c>
      <c r="W20" s="220"/>
      <c r="X20" s="220">
        <f>IF(共通条件・結果!AA7="８地域","-",SUM(X8:Y19))</f>
        <v>0</v>
      </c>
      <c r="Y20" s="220"/>
      <c r="Z20" s="220">
        <f>SUM(Z8:AA19)</f>
        <v>0</v>
      </c>
      <c r="AA20" s="221"/>
    </row>
    <row r="21" spans="2:41" s="2" customFormat="1" ht="9.9499999999999993" customHeight="1">
      <c r="AN21" s="307"/>
      <c r="AO21" s="307"/>
    </row>
    <row r="22" spans="2:41" s="2" customFormat="1" ht="21.95" customHeight="1" thickBot="1">
      <c r="E22" s="4"/>
      <c r="J22" s="4" t="s">
        <v>13</v>
      </c>
    </row>
    <row r="23" spans="2:41" s="2" customFormat="1" ht="21.95" customHeight="1">
      <c r="J23" s="266" t="s">
        <v>14</v>
      </c>
      <c r="K23" s="183"/>
      <c r="L23" s="183"/>
      <c r="M23" s="267"/>
      <c r="N23" s="322" t="s">
        <v>153</v>
      </c>
      <c r="O23" s="183"/>
      <c r="P23" s="183"/>
      <c r="Q23" s="267"/>
      <c r="R23" s="284" t="s">
        <v>154</v>
      </c>
      <c r="S23" s="285"/>
      <c r="T23" s="324" t="s">
        <v>9</v>
      </c>
      <c r="U23" s="325"/>
      <c r="V23" s="272" t="s">
        <v>158</v>
      </c>
      <c r="W23" s="273"/>
      <c r="X23" s="272" t="s">
        <v>156</v>
      </c>
      <c r="Y23" s="273"/>
      <c r="Z23" s="272" t="s">
        <v>123</v>
      </c>
      <c r="AA23" s="184"/>
      <c r="AN23" s="307" t="s">
        <v>58</v>
      </c>
      <c r="AO23" s="307"/>
    </row>
    <row r="24" spans="2:41" s="2" customFormat="1" ht="21.95" customHeight="1">
      <c r="J24" s="268"/>
      <c r="K24" s="307"/>
      <c r="L24" s="307"/>
      <c r="M24" s="269"/>
      <c r="N24" s="195"/>
      <c r="O24" s="196"/>
      <c r="P24" s="196"/>
      <c r="Q24" s="323"/>
      <c r="R24" s="288"/>
      <c r="S24" s="286"/>
      <c r="T24" s="326"/>
      <c r="U24" s="327"/>
      <c r="V24" s="274"/>
      <c r="W24" s="275"/>
      <c r="X24" s="274"/>
      <c r="Y24" s="275"/>
      <c r="Z24" s="318"/>
      <c r="AA24" s="319"/>
      <c r="AN24" s="40"/>
      <c r="AO24" s="40"/>
    </row>
    <row r="25" spans="2:41" s="2" customFormat="1" ht="21.95" customHeight="1" thickBot="1">
      <c r="J25" s="270"/>
      <c r="K25" s="317"/>
      <c r="L25" s="317"/>
      <c r="M25" s="271"/>
      <c r="N25" s="329" t="s">
        <v>8</v>
      </c>
      <c r="O25" s="330"/>
      <c r="P25" s="331" t="s">
        <v>7</v>
      </c>
      <c r="Q25" s="287"/>
      <c r="R25" s="287"/>
      <c r="S25" s="287"/>
      <c r="T25" s="328"/>
      <c r="U25" s="328"/>
      <c r="V25" s="276"/>
      <c r="W25" s="277"/>
      <c r="X25" s="276"/>
      <c r="Y25" s="277"/>
      <c r="Z25" s="320"/>
      <c r="AA25" s="321"/>
      <c r="AN25" s="72" t="s">
        <v>56</v>
      </c>
      <c r="AO25" s="2" t="s">
        <v>54</v>
      </c>
    </row>
    <row r="26" spans="2:41" s="2" customFormat="1" ht="21.95" customHeight="1">
      <c r="D26" s="89"/>
      <c r="E26" s="89"/>
      <c r="J26" s="308"/>
      <c r="K26" s="309"/>
      <c r="L26" s="309"/>
      <c r="M26" s="310"/>
      <c r="N26" s="311"/>
      <c r="O26" s="312"/>
      <c r="P26" s="312"/>
      <c r="Q26" s="313"/>
      <c r="R26" s="263"/>
      <c r="S26" s="263"/>
      <c r="T26" s="314"/>
      <c r="U26" s="314"/>
      <c r="V26" s="264" t="str">
        <f>IF(N26="","",N26*P26*R26*0.034*$V$4)</f>
        <v/>
      </c>
      <c r="W26" s="264"/>
      <c r="X26" s="264" t="str">
        <f>IF(N26="","",IF(ISERROR(N26*P26*R26*0.034*$X$4),"-",N26*P26*R26*0.034*$X$4))</f>
        <v/>
      </c>
      <c r="Y26" s="264"/>
      <c r="Z26" s="264" t="str">
        <f>IF(N26="","",N26*P26*AN26)</f>
        <v/>
      </c>
      <c r="AA26" s="265"/>
      <c r="AD26" s="49"/>
      <c r="AN26" s="2">
        <f>IF(AO26="FALSE",R26,IF(T26="風除室",1/((1/R26)+0.1),0.5*R26+0.5*(1/((1/R26)+AO26))))</f>
        <v>0</v>
      </c>
      <c r="AO26" s="40" t="str">
        <f>IF(T26="","FALSE",IF(T26="雨戸",0.1,IF(T26="ｼｬｯﾀｰ",0.1,IF(T26="障子",0.18,IF(T26="風除室",0.1)))))</f>
        <v>FALSE</v>
      </c>
    </row>
    <row r="27" spans="2:41" s="2" customFormat="1" ht="21.95" customHeight="1">
      <c r="D27" s="89"/>
      <c r="E27" s="89"/>
      <c r="J27" s="302"/>
      <c r="K27" s="303"/>
      <c r="L27" s="303"/>
      <c r="M27" s="304"/>
      <c r="N27" s="250"/>
      <c r="O27" s="305"/>
      <c r="P27" s="306"/>
      <c r="Q27" s="251"/>
      <c r="R27" s="250"/>
      <c r="S27" s="251"/>
      <c r="T27" s="315"/>
      <c r="U27" s="316"/>
      <c r="V27" s="233" t="str">
        <f>IF(N27="","",N27*P27*R27*0.034*$V$4)</f>
        <v/>
      </c>
      <c r="W27" s="234"/>
      <c r="X27" s="233" t="str">
        <f>IF(N27="","",IF(ISERROR(N27*P27*R27*0.034*$X$4),"-",N27*P27*R27*0.034*$X$4))</f>
        <v/>
      </c>
      <c r="Y27" s="234"/>
      <c r="Z27" s="233" t="str">
        <f>IF(N27="","",N27*P27*AN27)</f>
        <v/>
      </c>
      <c r="AA27" s="256"/>
      <c r="AD27" s="49"/>
      <c r="AN27" s="2">
        <f>IF(AO27="FALSE",R27,IF(T27="風除室",1/((1/R27)+0.1),0.5*R27+0.5*(1/((1/R27)+AO27))))</f>
        <v>0</v>
      </c>
      <c r="AO27" s="40" t="str">
        <f>IF(T27="","FALSE",IF(T27="雨戸",0.1,IF(T27="ｼｬｯﾀｰ",0.1,IF(T27="障子",0.18,IF(T27="風除室",0.1)))))</f>
        <v>FALSE</v>
      </c>
    </row>
    <row r="28" spans="2:41" s="2" customFormat="1" ht="21.95" customHeight="1" thickBot="1">
      <c r="D28" s="89"/>
      <c r="E28" s="89"/>
      <c r="J28" s="294"/>
      <c r="K28" s="295"/>
      <c r="L28" s="295"/>
      <c r="M28" s="296"/>
      <c r="N28" s="297"/>
      <c r="O28" s="298"/>
      <c r="P28" s="298"/>
      <c r="Q28" s="299"/>
      <c r="R28" s="300"/>
      <c r="S28" s="300"/>
      <c r="T28" s="301"/>
      <c r="U28" s="301"/>
      <c r="V28" s="289" t="str">
        <f>IF(N28="","",N28*P28*R28*0.034*$V$4)</f>
        <v/>
      </c>
      <c r="W28" s="289"/>
      <c r="X28" s="289" t="str">
        <f>IF(N28="","",IF(ISERROR(N28*P28*R28*0.034*$X$4),"-",N28*P28*R28*0.034*$X$4))</f>
        <v/>
      </c>
      <c r="Y28" s="289"/>
      <c r="Z28" s="289" t="str">
        <f>IF(N28="","",N28*P28*AN28)</f>
        <v/>
      </c>
      <c r="AA28" s="290"/>
      <c r="AD28" s="49"/>
      <c r="AN28" s="2">
        <f>IF(AO28="FALSE",R28,IF(T28="風除室",1/((1/R28)+0.1),0.5*R28+0.5*(1/((1/R28)+AO28))))</f>
        <v>0</v>
      </c>
      <c r="AO28" s="40" t="str">
        <f>IF(T28="","FALSE",IF(T28="雨戸",0.1,IF(T28="ｼｬｯﾀｰ",0.1,IF(T28="障子",0.18,IF(T28="風除室",0.1)))))</f>
        <v>FALSE</v>
      </c>
    </row>
    <row r="29" spans="2:41" s="2" customFormat="1" ht="21.95" customHeight="1" thickBot="1">
      <c r="J29" s="218" t="s">
        <v>276</v>
      </c>
      <c r="K29" s="219"/>
      <c r="L29" s="219"/>
      <c r="M29" s="219"/>
      <c r="N29" s="219"/>
      <c r="O29" s="219"/>
      <c r="P29" s="219"/>
      <c r="Q29" s="219"/>
      <c r="R29" s="219"/>
      <c r="S29" s="219"/>
      <c r="T29" s="219"/>
      <c r="U29" s="366"/>
      <c r="V29" s="220">
        <f>SUM(V26:W28)</f>
        <v>0</v>
      </c>
      <c r="W29" s="220"/>
      <c r="X29" s="220">
        <f>SUM(X26:Y28)</f>
        <v>0</v>
      </c>
      <c r="Y29" s="220"/>
      <c r="Z29" s="220">
        <f>SUM(Z26:AA28)</f>
        <v>0</v>
      </c>
      <c r="AA29" s="221"/>
      <c r="AO29" s="40"/>
    </row>
    <row r="30" spans="2:41" s="2" customFormat="1" ht="9.9499999999999993" customHeight="1">
      <c r="J30" s="26"/>
      <c r="K30" s="26"/>
      <c r="L30" s="26"/>
      <c r="M30" s="26"/>
      <c r="N30" s="26"/>
      <c r="O30" s="26"/>
      <c r="P30" s="26"/>
      <c r="Q30" s="26"/>
      <c r="R30" s="26"/>
      <c r="S30" s="26"/>
      <c r="T30" s="26"/>
      <c r="U30" s="26"/>
      <c r="V30" s="73"/>
      <c r="W30" s="73"/>
      <c r="X30" s="73"/>
      <c r="Y30" s="73"/>
      <c r="Z30" s="73"/>
      <c r="AA30" s="73"/>
      <c r="AO30" s="40"/>
    </row>
    <row r="31" spans="2:41" s="2" customFormat="1" ht="21.95" customHeight="1" thickBot="1">
      <c r="J31" s="4" t="s">
        <v>15</v>
      </c>
      <c r="K31" s="4"/>
      <c r="L31" s="4"/>
      <c r="AO31" s="40"/>
    </row>
    <row r="32" spans="2:41" s="2" customFormat="1" ht="21.95" customHeight="1">
      <c r="J32" s="266" t="s">
        <v>0</v>
      </c>
      <c r="K32" s="267"/>
      <c r="L32" s="272" t="s">
        <v>159</v>
      </c>
      <c r="M32" s="273"/>
      <c r="N32" s="272" t="s">
        <v>160</v>
      </c>
      <c r="O32" s="273"/>
      <c r="P32" s="278" t="s">
        <v>161</v>
      </c>
      <c r="Q32" s="279"/>
      <c r="R32" s="284" t="s">
        <v>154</v>
      </c>
      <c r="S32" s="285"/>
      <c r="T32" s="284" t="s">
        <v>158</v>
      </c>
      <c r="U32" s="285"/>
      <c r="V32" s="284" t="s">
        <v>156</v>
      </c>
      <c r="W32" s="285"/>
      <c r="X32" s="284" t="s">
        <v>123</v>
      </c>
      <c r="Y32" s="291"/>
      <c r="AO32" s="40"/>
    </row>
    <row r="33" spans="2:41" s="2" customFormat="1" ht="21.95" customHeight="1">
      <c r="J33" s="268"/>
      <c r="K33" s="269"/>
      <c r="L33" s="274"/>
      <c r="M33" s="275"/>
      <c r="N33" s="274"/>
      <c r="O33" s="275"/>
      <c r="P33" s="280"/>
      <c r="Q33" s="281"/>
      <c r="R33" s="286"/>
      <c r="S33" s="286"/>
      <c r="T33" s="288"/>
      <c r="U33" s="286"/>
      <c r="V33" s="288"/>
      <c r="W33" s="286"/>
      <c r="X33" s="286"/>
      <c r="Y33" s="292"/>
      <c r="AO33" s="40"/>
    </row>
    <row r="34" spans="2:41" s="2" customFormat="1" ht="21.95" customHeight="1" thickBot="1">
      <c r="J34" s="270"/>
      <c r="K34" s="271"/>
      <c r="L34" s="276"/>
      <c r="M34" s="277"/>
      <c r="N34" s="276"/>
      <c r="O34" s="277"/>
      <c r="P34" s="282"/>
      <c r="Q34" s="283"/>
      <c r="R34" s="287"/>
      <c r="S34" s="287"/>
      <c r="T34" s="287"/>
      <c r="U34" s="287"/>
      <c r="V34" s="287"/>
      <c r="W34" s="287"/>
      <c r="X34" s="287"/>
      <c r="Y34" s="293"/>
    </row>
    <row r="35" spans="2:41" s="2" customFormat="1" ht="21.95" customHeight="1">
      <c r="J35" s="257"/>
      <c r="K35" s="258"/>
      <c r="L35" s="259"/>
      <c r="M35" s="260"/>
      <c r="N35" s="259"/>
      <c r="O35" s="260"/>
      <c r="P35" s="261" t="str">
        <f>IF(L35="","",L35-N35)</f>
        <v/>
      </c>
      <c r="Q35" s="262"/>
      <c r="R35" s="263"/>
      <c r="S35" s="263"/>
      <c r="T35" s="235" t="str">
        <f>IF(P35="","",P35*R35*0.034*$V$4)</f>
        <v/>
      </c>
      <c r="U35" s="235"/>
      <c r="V35" s="233" t="str">
        <f>IF(P35="","",IF(ISERROR(P35*R35*0.034*$X$4),"-",P35*R35*0.034*$X$4))</f>
        <v/>
      </c>
      <c r="W35" s="234"/>
      <c r="X35" s="264" t="str">
        <f>IF(R35="","",R35*P35)</f>
        <v/>
      </c>
      <c r="Y35" s="265"/>
      <c r="AD35" s="49"/>
      <c r="AE35" s="49"/>
      <c r="AF35" s="49"/>
    </row>
    <row r="36" spans="2:41" s="2" customFormat="1" ht="21.95" customHeight="1">
      <c r="J36" s="248"/>
      <c r="K36" s="249"/>
      <c r="L36" s="250"/>
      <c r="M36" s="251"/>
      <c r="N36" s="250"/>
      <c r="O36" s="251"/>
      <c r="P36" s="252" t="str">
        <f t="shared" ref="P36:P37" si="11">IF(L36="","",L36-N36)</f>
        <v/>
      </c>
      <c r="Q36" s="253"/>
      <c r="R36" s="250"/>
      <c r="S36" s="251"/>
      <c r="T36" s="233" t="str">
        <f t="shared" ref="T36:T39" si="12">IF(P36="","",P36*R36*0.034*$V$4)</f>
        <v/>
      </c>
      <c r="U36" s="234"/>
      <c r="V36" s="233" t="str">
        <f t="shared" ref="V36:V39" si="13">IF(P36="","",IF(ISERROR(P36*R36*0.034*$X$4),"-",P36*R36*0.034*$X$4))</f>
        <v/>
      </c>
      <c r="W36" s="234"/>
      <c r="X36" s="233" t="str">
        <f t="shared" ref="X36:X39" si="14">IF(R36="","",R36*P36)</f>
        <v/>
      </c>
      <c r="Y36" s="256"/>
      <c r="AD36" s="49"/>
      <c r="AE36" s="49"/>
      <c r="AF36" s="49"/>
    </row>
    <row r="37" spans="2:41" s="2" customFormat="1" ht="21.95" customHeight="1">
      <c r="J37" s="248"/>
      <c r="K37" s="249"/>
      <c r="L37" s="250"/>
      <c r="M37" s="251"/>
      <c r="N37" s="250"/>
      <c r="O37" s="251"/>
      <c r="P37" s="252" t="str">
        <f t="shared" si="11"/>
        <v/>
      </c>
      <c r="Q37" s="253"/>
      <c r="R37" s="250"/>
      <c r="S37" s="251"/>
      <c r="T37" s="233" t="str">
        <f t="shared" si="12"/>
        <v/>
      </c>
      <c r="U37" s="234"/>
      <c r="V37" s="233" t="str">
        <f t="shared" si="13"/>
        <v/>
      </c>
      <c r="W37" s="234"/>
      <c r="X37" s="233" t="str">
        <f t="shared" si="14"/>
        <v/>
      </c>
      <c r="Y37" s="256"/>
      <c r="AD37" s="49"/>
      <c r="AE37" s="49"/>
      <c r="AF37" s="49"/>
    </row>
    <row r="38" spans="2:41" s="2" customFormat="1" ht="21.95" customHeight="1">
      <c r="J38" s="248"/>
      <c r="K38" s="249"/>
      <c r="L38" s="250"/>
      <c r="M38" s="251"/>
      <c r="N38" s="250"/>
      <c r="O38" s="251"/>
      <c r="P38" s="252" t="str">
        <f>IF(L38="","",L38-N38)</f>
        <v/>
      </c>
      <c r="Q38" s="253"/>
      <c r="R38" s="254"/>
      <c r="S38" s="254"/>
      <c r="T38" s="235" t="str">
        <f t="shared" si="12"/>
        <v/>
      </c>
      <c r="U38" s="235"/>
      <c r="V38" s="233" t="str">
        <f t="shared" si="13"/>
        <v/>
      </c>
      <c r="W38" s="234"/>
      <c r="X38" s="235" t="str">
        <f t="shared" si="14"/>
        <v/>
      </c>
      <c r="Y38" s="236"/>
      <c r="AD38" s="49"/>
      <c r="AE38" s="49"/>
      <c r="AF38" s="49"/>
    </row>
    <row r="39" spans="2:41" s="2" customFormat="1" ht="21.95" customHeight="1" thickBot="1">
      <c r="J39" s="237"/>
      <c r="K39" s="238"/>
      <c r="L39" s="239"/>
      <c r="M39" s="240"/>
      <c r="N39" s="239"/>
      <c r="O39" s="240"/>
      <c r="P39" s="241" t="str">
        <f>IF(L39="","",L39-N39)</f>
        <v/>
      </c>
      <c r="Q39" s="242"/>
      <c r="R39" s="243"/>
      <c r="S39" s="243"/>
      <c r="T39" s="244" t="str">
        <f t="shared" si="12"/>
        <v/>
      </c>
      <c r="U39" s="244"/>
      <c r="V39" s="245" t="str">
        <f t="shared" si="13"/>
        <v/>
      </c>
      <c r="W39" s="246"/>
      <c r="X39" s="244" t="str">
        <f t="shared" si="14"/>
        <v/>
      </c>
      <c r="Y39" s="247"/>
      <c r="AD39" s="49"/>
      <c r="AE39" s="49"/>
      <c r="AF39" s="49"/>
    </row>
    <row r="40" spans="2:41" s="2" customFormat="1" ht="21.95" customHeight="1" thickBot="1">
      <c r="J40" s="218" t="s">
        <v>71</v>
      </c>
      <c r="K40" s="219"/>
      <c r="L40" s="219"/>
      <c r="M40" s="219"/>
      <c r="N40" s="219"/>
      <c r="O40" s="219"/>
      <c r="P40" s="219"/>
      <c r="Q40" s="219"/>
      <c r="R40" s="219"/>
      <c r="S40" s="219"/>
      <c r="T40" s="220">
        <f>SUM(T35:U39)</f>
        <v>0</v>
      </c>
      <c r="U40" s="220"/>
      <c r="V40" s="220">
        <f>IF(共通条件・結果!AA7="８地域","-",SUM(V35:W39))</f>
        <v>0</v>
      </c>
      <c r="W40" s="220"/>
      <c r="X40" s="220">
        <f>SUM(X35:Y39)</f>
        <v>0</v>
      </c>
      <c r="Y40" s="221"/>
    </row>
    <row r="41" spans="2:41" s="2" customFormat="1" ht="12">
      <c r="J41" s="74" t="s">
        <v>168</v>
      </c>
    </row>
    <row r="42" spans="2:41" s="2" customFormat="1" ht="21.95" customHeight="1" thickBot="1">
      <c r="B42" s="4" t="s">
        <v>72</v>
      </c>
    </row>
    <row r="43" spans="2:41" s="2" customFormat="1" ht="21.95" customHeight="1">
      <c r="B43" s="222" t="s">
        <v>67</v>
      </c>
      <c r="C43" s="223"/>
      <c r="D43" s="149" t="s">
        <v>37</v>
      </c>
      <c r="E43" s="150"/>
      <c r="F43" s="150"/>
      <c r="G43" s="150"/>
      <c r="H43" s="150"/>
      <c r="I43" s="150"/>
      <c r="J43" s="151"/>
      <c r="K43" s="68"/>
      <c r="L43" s="228">
        <f>Q43+U43+Y43</f>
        <v>0</v>
      </c>
      <c r="M43" s="228"/>
      <c r="N43" s="228"/>
      <c r="O43" s="68" t="s">
        <v>22</v>
      </c>
      <c r="P43" s="11" t="s">
        <v>21</v>
      </c>
      <c r="Q43" s="229">
        <f>D8*F8+D9*F9+D10*F10+D11*F11+D12*F12+D13*F13+D14*F14+D15*F15+D16*F16+D17*F17+D18*F18+D19*F19</f>
        <v>0</v>
      </c>
      <c r="R43" s="229"/>
      <c r="S43" s="75" t="s">
        <v>23</v>
      </c>
      <c r="T43" s="75" t="s">
        <v>20</v>
      </c>
      <c r="U43" s="230">
        <f>N26*P26+N27*P27+N28*P28</f>
        <v>0</v>
      </c>
      <c r="V43" s="230"/>
      <c r="W43" s="75" t="s">
        <v>23</v>
      </c>
      <c r="X43" s="75" t="s">
        <v>1</v>
      </c>
      <c r="Y43" s="232">
        <f>SUM(P35:Q39)</f>
        <v>0</v>
      </c>
      <c r="Z43" s="232"/>
      <c r="AA43" s="76" t="s">
        <v>17</v>
      </c>
    </row>
    <row r="44" spans="2:41" s="2" customFormat="1" ht="21.95" customHeight="1">
      <c r="B44" s="224"/>
      <c r="C44" s="225"/>
      <c r="D44" s="154" t="s">
        <v>47</v>
      </c>
      <c r="E44" s="155"/>
      <c r="F44" s="155"/>
      <c r="G44" s="155"/>
      <c r="H44" s="155"/>
      <c r="I44" s="155"/>
      <c r="J44" s="156"/>
      <c r="K44" s="71"/>
      <c r="L44" s="71"/>
      <c r="M44" s="71"/>
      <c r="N44" s="71"/>
      <c r="O44" s="71"/>
      <c r="P44" s="71"/>
      <c r="Q44" s="71"/>
      <c r="R44" s="71"/>
      <c r="S44" s="71"/>
      <c r="T44" s="71"/>
      <c r="U44" s="71"/>
      <c r="V44" s="71"/>
      <c r="W44" s="215">
        <f>V20+V29+T40</f>
        <v>0</v>
      </c>
      <c r="X44" s="215"/>
      <c r="Y44" s="215"/>
      <c r="Z44" s="216" t="s">
        <v>126</v>
      </c>
      <c r="AA44" s="217"/>
    </row>
    <row r="45" spans="2:41" s="2" customFormat="1" ht="21.95" customHeight="1">
      <c r="B45" s="224"/>
      <c r="C45" s="225"/>
      <c r="D45" s="154" t="s">
        <v>48</v>
      </c>
      <c r="E45" s="155"/>
      <c r="F45" s="155"/>
      <c r="G45" s="155"/>
      <c r="H45" s="155"/>
      <c r="I45" s="155"/>
      <c r="J45" s="156"/>
      <c r="K45" s="71"/>
      <c r="L45" s="71"/>
      <c r="M45" s="71"/>
      <c r="N45" s="71"/>
      <c r="O45" s="71"/>
      <c r="P45" s="71"/>
      <c r="Q45" s="71"/>
      <c r="R45" s="71"/>
      <c r="S45" s="71"/>
      <c r="T45" s="71"/>
      <c r="U45" s="71"/>
      <c r="V45" s="71"/>
      <c r="W45" s="215">
        <f>IF(共通条件・結果!AA7="８地域","-",$X$20+$X$29+$V$40)</f>
        <v>0</v>
      </c>
      <c r="X45" s="215"/>
      <c r="Y45" s="215"/>
      <c r="Z45" s="216" t="s">
        <v>126</v>
      </c>
      <c r="AA45" s="217"/>
    </row>
    <row r="46" spans="2:41" s="2" customFormat="1" ht="21.95" customHeight="1" thickBot="1">
      <c r="B46" s="226"/>
      <c r="C46" s="227"/>
      <c r="D46" s="142" t="s">
        <v>18</v>
      </c>
      <c r="E46" s="143"/>
      <c r="F46" s="143"/>
      <c r="G46" s="143"/>
      <c r="H46" s="143"/>
      <c r="I46" s="143"/>
      <c r="J46" s="144"/>
      <c r="K46" s="69"/>
      <c r="L46" s="69"/>
      <c r="M46" s="69"/>
      <c r="N46" s="69"/>
      <c r="O46" s="69"/>
      <c r="P46" s="69"/>
      <c r="Q46" s="69"/>
      <c r="R46" s="69"/>
      <c r="S46" s="69"/>
      <c r="T46" s="69"/>
      <c r="U46" s="69"/>
      <c r="V46" s="69"/>
      <c r="W46" s="255">
        <f>Z20+Z29+X40</f>
        <v>0</v>
      </c>
      <c r="X46" s="255"/>
      <c r="Y46" s="255"/>
      <c r="Z46" s="70" t="s">
        <v>19</v>
      </c>
      <c r="AA46" s="77"/>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L4DWbJRXzdzHdOkbsik3BblG/O6sVLKjxKD9IyBRn+/SYslu1cg3glJxmFAec7Ol6lzF9oL5VA8M1SKuNG6ocQ==" saltValue="6OJ9ZPH8dyDUYJPIZTxD9w==" spinCount="100000"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Y43:Z43">
    <cfRule type="expression" dxfId="138" priority="23" stopIfTrue="1">
      <formula>$Y$43=0</formula>
    </cfRule>
  </conditionalFormatting>
  <conditionalFormatting sqref="Q43:R43">
    <cfRule type="expression" dxfId="137" priority="22" stopIfTrue="1">
      <formula>$Q$43=0</formula>
    </cfRule>
  </conditionalFormatting>
  <conditionalFormatting sqref="U43:V43">
    <cfRule type="expression" dxfId="136" priority="21" stopIfTrue="1">
      <formula>$U$43=0</formula>
    </cfRule>
  </conditionalFormatting>
  <conditionalFormatting sqref="L43:N43">
    <cfRule type="expression" dxfId="135" priority="20" stopIfTrue="1">
      <formula>$L$43=0</formula>
    </cfRule>
  </conditionalFormatting>
  <conditionalFormatting sqref="X8:Y8">
    <cfRule type="expression" dxfId="134" priority="18" stopIfTrue="1">
      <formula>#VALUE!</formula>
    </cfRule>
    <cfRule type="expression" dxfId="133" priority="19" stopIfTrue="1">
      <formula>#VALUE!</formula>
    </cfRule>
  </conditionalFormatting>
  <conditionalFormatting sqref="X19:Y19">
    <cfRule type="expression" dxfId="132" priority="17" stopIfTrue="1">
      <formula>#VALUE!</formula>
    </cfRule>
  </conditionalFormatting>
  <conditionalFormatting sqref="X8:Y8">
    <cfRule type="expression" dxfId="131" priority="15" stopIfTrue="1">
      <formula>#VALUE!</formula>
    </cfRule>
    <cfRule type="expression" dxfId="130" priority="16" stopIfTrue="1">
      <formula>#VALUE!</formula>
    </cfRule>
  </conditionalFormatting>
  <conditionalFormatting sqref="X19:Y19">
    <cfRule type="expression" dxfId="129" priority="14" stopIfTrue="1">
      <formula>#VALUE!</formula>
    </cfRule>
  </conditionalFormatting>
  <conditionalFormatting sqref="P8:U8">
    <cfRule type="expression" dxfId="128" priority="13" stopIfTrue="1">
      <formula>$AG$8=TRUE</formula>
    </cfRule>
  </conditionalFormatting>
  <conditionalFormatting sqref="P15:U15">
    <cfRule type="expression" dxfId="127" priority="12" stopIfTrue="1">
      <formula>$AG$15=TRUE</formula>
    </cfRule>
  </conditionalFormatting>
  <conditionalFormatting sqref="P16:U16">
    <cfRule type="expression" dxfId="126" priority="11" stopIfTrue="1">
      <formula>$AG$16=TRUE</formula>
    </cfRule>
  </conditionalFormatting>
  <conditionalFormatting sqref="P17:U17">
    <cfRule type="expression" dxfId="125" priority="10" stopIfTrue="1">
      <formula>$AG$17=TRUE</formula>
    </cfRule>
  </conditionalFormatting>
  <conditionalFormatting sqref="P18:U18">
    <cfRule type="expression" dxfId="124" priority="9" stopIfTrue="1">
      <formula>$AG$18=TRUE</formula>
    </cfRule>
  </conditionalFormatting>
  <conditionalFormatting sqref="P19:U19">
    <cfRule type="expression" dxfId="123" priority="8" stopIfTrue="1">
      <formula>$AG$19=TRUE</formula>
    </cfRule>
  </conditionalFormatting>
  <conditionalFormatting sqref="P10:U10">
    <cfRule type="expression" dxfId="122" priority="7" stopIfTrue="1">
      <formula>$AG$10=TRUE</formula>
    </cfRule>
  </conditionalFormatting>
  <conditionalFormatting sqref="P11:U11">
    <cfRule type="expression" dxfId="121" priority="6" stopIfTrue="1">
      <formula>$AG$11=TRUE</formula>
    </cfRule>
  </conditionalFormatting>
  <conditionalFormatting sqref="P14:U14">
    <cfRule type="expression" dxfId="120" priority="5" stopIfTrue="1">
      <formula>$AG$14=TRUE</formula>
    </cfRule>
  </conditionalFormatting>
  <conditionalFormatting sqref="P9:U9">
    <cfRule type="expression" dxfId="119" priority="4" stopIfTrue="1">
      <formula>$AG$9=TRUE</formula>
    </cfRule>
  </conditionalFormatting>
  <conditionalFormatting sqref="P12:U12">
    <cfRule type="expression" dxfId="118" priority="3">
      <formula>$AG$12=TRUE</formula>
    </cfRule>
  </conditionalFormatting>
  <conditionalFormatting sqref="P13:U13">
    <cfRule type="expression" dxfId="117" priority="2">
      <formula>$AG$13=TRUE</formula>
    </cfRule>
  </conditionalFormatting>
  <dataValidations count="1">
    <dataValidation type="list" allowBlank="1" showInputMessage="1" showErrorMessage="1" sqref="M14:M19 L8:L19 M8:M11 T26:T28 U26 U28" xr:uid="{44754D78-4DA0-4EE6-967F-E937676851BF}">
      <formula1>"　,雨戸,ｼｬｯﾀｰ,障子,風除室"</formula1>
    </dataValidation>
  </dataValidations>
  <pageMargins left="0.70866141732283472" right="0.70866141732283472" top="0.74803149606299213" bottom="0.74803149606299213" header="0.31496062992125984" footer="0.31496062992125984"/>
  <pageSetup paperSize="9" scale="77"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9B97-902B-4F89-9CCB-7A22C58A279D}">
  <sheetPr codeName="Sheet6"/>
  <dimension ref="B1:AO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9" width="3.875" customWidth="1"/>
    <col min="30" max="31" width="10.625" hidden="1" customWidth="1"/>
    <col min="32" max="32" width="2.625" hidden="1" customWidth="1"/>
    <col min="33" max="35" width="10.625" hidden="1" customWidth="1"/>
    <col min="36" max="36" width="2.625" hidden="1" customWidth="1"/>
    <col min="37" max="38" width="15.625" hidden="1" customWidth="1"/>
    <col min="39" max="39" width="2.625" hidden="1" customWidth="1"/>
    <col min="40" max="41" width="10.625" hidden="1" customWidth="1"/>
    <col min="42" max="43" width="3.625" customWidth="1"/>
    <col min="44" max="45" width="4.625" customWidth="1"/>
  </cols>
  <sheetData>
    <row r="1" spans="2:41" ht="3.95" customHeight="1"/>
    <row r="2" spans="2:41" s="1" customFormat="1" ht="30" customHeight="1">
      <c r="B2" s="379" t="s">
        <v>219</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row>
    <row r="3" spans="2:41" s="2" customFormat="1" ht="24.95" customHeight="1" thickBot="1"/>
    <row r="4" spans="2:41" s="2" customFormat="1" ht="21.95" customHeight="1" thickBot="1">
      <c r="B4" s="4" t="s">
        <v>5</v>
      </c>
      <c r="R4" s="380" t="s">
        <v>33</v>
      </c>
      <c r="S4" s="381"/>
      <c r="T4" s="381"/>
      <c r="U4" s="382"/>
      <c r="V4" s="383"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W4" s="384"/>
      <c r="X4" s="383"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Y4" s="384"/>
    </row>
    <row r="5" spans="2:41" s="2" customFormat="1" ht="21.95" customHeight="1">
      <c r="B5" s="385" t="s">
        <v>6</v>
      </c>
      <c r="C5" s="285"/>
      <c r="D5" s="285" t="s">
        <v>153</v>
      </c>
      <c r="E5" s="285"/>
      <c r="F5" s="285"/>
      <c r="G5" s="285"/>
      <c r="H5" s="284" t="s">
        <v>154</v>
      </c>
      <c r="I5" s="285"/>
      <c r="J5" s="284" t="s">
        <v>65</v>
      </c>
      <c r="K5" s="285"/>
      <c r="L5" s="284" t="s">
        <v>9</v>
      </c>
      <c r="M5" s="285"/>
      <c r="N5" s="388" t="s">
        <v>46</v>
      </c>
      <c r="O5" s="232"/>
      <c r="P5" s="232"/>
      <c r="Q5" s="232"/>
      <c r="R5" s="232"/>
      <c r="S5" s="232"/>
      <c r="T5" s="232"/>
      <c r="U5" s="232"/>
      <c r="V5" s="284" t="s">
        <v>155</v>
      </c>
      <c r="W5" s="285"/>
      <c r="X5" s="284" t="s">
        <v>156</v>
      </c>
      <c r="Y5" s="285"/>
      <c r="Z5" s="284" t="s">
        <v>123</v>
      </c>
      <c r="AA5" s="291"/>
    </row>
    <row r="6" spans="2:41" s="2" customFormat="1" ht="21.95" customHeight="1">
      <c r="B6" s="386"/>
      <c r="C6" s="286"/>
      <c r="D6" s="367" t="s">
        <v>8</v>
      </c>
      <c r="E6" s="368"/>
      <c r="F6" s="371" t="s">
        <v>7</v>
      </c>
      <c r="G6" s="372"/>
      <c r="H6" s="286"/>
      <c r="I6" s="286"/>
      <c r="J6" s="288"/>
      <c r="K6" s="286"/>
      <c r="L6" s="288"/>
      <c r="M6" s="286"/>
      <c r="N6" s="373" t="s">
        <v>45</v>
      </c>
      <c r="O6" s="374"/>
      <c r="P6" s="376" t="s">
        <v>157</v>
      </c>
      <c r="Q6" s="377"/>
      <c r="R6" s="377"/>
      <c r="S6" s="377"/>
      <c r="T6" s="377"/>
      <c r="U6" s="378"/>
      <c r="V6" s="288"/>
      <c r="W6" s="286"/>
      <c r="X6" s="288"/>
      <c r="Y6" s="286"/>
      <c r="Z6" s="286"/>
      <c r="AA6" s="292"/>
      <c r="AD6" s="307" t="s">
        <v>49</v>
      </c>
      <c r="AE6" s="307"/>
      <c r="AF6" s="40"/>
      <c r="AG6" s="40"/>
      <c r="AH6" s="307" t="s">
        <v>12</v>
      </c>
      <c r="AI6" s="307"/>
      <c r="AJ6" s="40"/>
      <c r="AK6" s="307" t="s">
        <v>50</v>
      </c>
      <c r="AL6" s="307"/>
      <c r="AN6" s="307" t="s">
        <v>58</v>
      </c>
      <c r="AO6" s="307"/>
    </row>
    <row r="7" spans="2:41" s="2" customFormat="1" ht="21.95" customHeight="1" thickBot="1">
      <c r="B7" s="387"/>
      <c r="C7" s="287"/>
      <c r="D7" s="369"/>
      <c r="E7" s="370"/>
      <c r="F7" s="317"/>
      <c r="G7" s="271"/>
      <c r="H7" s="287"/>
      <c r="I7" s="287"/>
      <c r="J7" s="287"/>
      <c r="K7" s="287"/>
      <c r="L7" s="287"/>
      <c r="M7" s="287"/>
      <c r="N7" s="276"/>
      <c r="O7" s="375"/>
      <c r="P7" s="271" t="s">
        <v>10</v>
      </c>
      <c r="Q7" s="320"/>
      <c r="R7" s="364" t="s">
        <v>11</v>
      </c>
      <c r="S7" s="365"/>
      <c r="T7" s="271" t="s">
        <v>3</v>
      </c>
      <c r="U7" s="320"/>
      <c r="V7" s="287"/>
      <c r="W7" s="287"/>
      <c r="X7" s="287"/>
      <c r="Y7" s="287"/>
      <c r="Z7" s="287"/>
      <c r="AA7" s="293"/>
      <c r="AD7" s="40" t="s">
        <v>4</v>
      </c>
      <c r="AE7" s="40" t="s">
        <v>16</v>
      </c>
      <c r="AF7" s="40"/>
      <c r="AG7" s="40"/>
      <c r="AH7" s="40" t="s">
        <v>4</v>
      </c>
      <c r="AI7" s="40" t="s">
        <v>16</v>
      </c>
      <c r="AJ7" s="40"/>
      <c r="AK7" s="40" t="s">
        <v>4</v>
      </c>
      <c r="AL7" s="40" t="s">
        <v>16</v>
      </c>
      <c r="AN7" s="72" t="s">
        <v>56</v>
      </c>
      <c r="AO7" s="2" t="s">
        <v>54</v>
      </c>
    </row>
    <row r="8" spans="2:41" s="2" customFormat="1" ht="21.95" customHeight="1">
      <c r="B8" s="257"/>
      <c r="C8" s="363"/>
      <c r="D8" s="311"/>
      <c r="E8" s="312"/>
      <c r="F8" s="312"/>
      <c r="G8" s="313"/>
      <c r="H8" s="263"/>
      <c r="I8" s="263"/>
      <c r="J8" s="263"/>
      <c r="K8" s="263"/>
      <c r="L8" s="335"/>
      <c r="M8" s="335"/>
      <c r="N8" s="355"/>
      <c r="O8" s="356"/>
      <c r="P8" s="357"/>
      <c r="Q8" s="358"/>
      <c r="R8" s="359"/>
      <c r="S8" s="360"/>
      <c r="T8" s="361"/>
      <c r="U8" s="357"/>
      <c r="V8" s="362" t="str">
        <f>IF(D8="","",AD8)</f>
        <v/>
      </c>
      <c r="W8" s="362"/>
      <c r="X8" s="362" t="str">
        <f t="shared" ref="X8:X19" si="0">IF(D8="","",IF(ISERROR(AE8),"-",AE8))</f>
        <v/>
      </c>
      <c r="Y8" s="362"/>
      <c r="Z8" s="362" t="str">
        <f>IF(D8="","",D8*F8*AN8)</f>
        <v/>
      </c>
      <c r="AA8" s="389"/>
      <c r="AD8" s="2" t="e">
        <f>D8*F8*J8*$V$4*AH8</f>
        <v>#VALUE!</v>
      </c>
      <c r="AE8" s="2" t="e">
        <f>D8*F8*J8*$X$4*AI8</f>
        <v>#VALUE!</v>
      </c>
      <c r="AG8" s="49"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40" t="str">
        <f t="shared" ref="AO8:AO19" si="1">IF(L8="","FALSE",IF(L8="雨戸",0.1,IF(L8="ｼｬｯﾀｰ",0.1,IF(L8="障子",0.18,IF(L8="風除室",0.1)))))</f>
        <v>FALSE</v>
      </c>
    </row>
    <row r="9" spans="2:41" s="2" customFormat="1" ht="21.95" customHeight="1">
      <c r="B9" s="248"/>
      <c r="C9" s="349"/>
      <c r="D9" s="350"/>
      <c r="E9" s="351"/>
      <c r="F9" s="351"/>
      <c r="G9" s="352"/>
      <c r="H9" s="254"/>
      <c r="I9" s="254"/>
      <c r="J9" s="254"/>
      <c r="K9" s="254"/>
      <c r="L9" s="301"/>
      <c r="M9" s="301"/>
      <c r="N9" s="341"/>
      <c r="O9" s="342"/>
      <c r="P9" s="343"/>
      <c r="Q9" s="344"/>
      <c r="R9" s="345"/>
      <c r="S9" s="346"/>
      <c r="T9" s="347"/>
      <c r="U9" s="343"/>
      <c r="V9" s="235" t="str">
        <f t="shared" ref="V9:V19" si="2">IF(D9="","",AD9)</f>
        <v/>
      </c>
      <c r="W9" s="235"/>
      <c r="X9" s="235" t="str">
        <f t="shared" si="0"/>
        <v/>
      </c>
      <c r="Y9" s="235"/>
      <c r="Z9" s="235" t="str">
        <f t="shared" ref="Z9:Z19" si="3">IF(D9="","",D9*F9*AN9)</f>
        <v/>
      </c>
      <c r="AA9" s="236"/>
      <c r="AD9" s="2" t="e">
        <f t="shared" ref="AD9:AD19" si="4">D9*F9*J9*$V$4*AH9</f>
        <v>#VALUE!</v>
      </c>
      <c r="AE9" s="2" t="e">
        <f t="shared" ref="AE9:AE19" si="5">D9*F9*J9*$X$4*AI9</f>
        <v>#VALUE!</v>
      </c>
      <c r="AG9" s="49"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40" t="str">
        <f t="shared" si="1"/>
        <v>FALSE</v>
      </c>
    </row>
    <row r="10" spans="2:41" s="2" customFormat="1" ht="21.95" customHeight="1">
      <c r="B10" s="248"/>
      <c r="C10" s="349"/>
      <c r="D10" s="350"/>
      <c r="E10" s="351"/>
      <c r="F10" s="351"/>
      <c r="G10" s="352"/>
      <c r="H10" s="254"/>
      <c r="I10" s="254"/>
      <c r="J10" s="254"/>
      <c r="K10" s="254"/>
      <c r="L10" s="301"/>
      <c r="M10" s="301"/>
      <c r="N10" s="341"/>
      <c r="O10" s="342"/>
      <c r="P10" s="344"/>
      <c r="Q10" s="353"/>
      <c r="R10" s="348"/>
      <c r="S10" s="353"/>
      <c r="T10" s="348"/>
      <c r="U10" s="347"/>
      <c r="V10" s="235" t="str">
        <f t="shared" si="2"/>
        <v/>
      </c>
      <c r="W10" s="235"/>
      <c r="X10" s="235" t="str">
        <f t="shared" si="0"/>
        <v/>
      </c>
      <c r="Y10" s="235"/>
      <c r="Z10" s="235" t="str">
        <f t="shared" si="3"/>
        <v/>
      </c>
      <c r="AA10" s="236"/>
      <c r="AD10" s="2" t="e">
        <f t="shared" si="4"/>
        <v>#VALUE!</v>
      </c>
      <c r="AE10" s="2" t="e">
        <f t="shared" si="5"/>
        <v>#VALUE!</v>
      </c>
      <c r="AG10" s="49" t="b">
        <v>0</v>
      </c>
      <c r="AH10" s="2" t="str">
        <f t="shared" si="6"/>
        <v>エラー</v>
      </c>
      <c r="AI10" s="2" t="str">
        <f t="shared" si="7"/>
        <v>エラー</v>
      </c>
      <c r="AK10" s="2" t="e">
        <f>IF(共通条件・結果!$AA$7="８地域",0.01*(16+19*(2*R10+T10)/P10),0.01*(16+24*(2*R10+T10)/P10))</f>
        <v>#DIV/0!</v>
      </c>
      <c r="AL10" s="2" t="e">
        <f t="shared" si="8"/>
        <v>#DIV/0!</v>
      </c>
      <c r="AN10" s="2">
        <f t="shared" si="9"/>
        <v>0</v>
      </c>
      <c r="AO10" s="40" t="str">
        <f t="shared" si="1"/>
        <v>FALSE</v>
      </c>
    </row>
    <row r="11" spans="2:41" s="2" customFormat="1" ht="21.95" customHeight="1">
      <c r="B11" s="248"/>
      <c r="C11" s="349"/>
      <c r="D11" s="350"/>
      <c r="E11" s="351"/>
      <c r="F11" s="351"/>
      <c r="G11" s="352"/>
      <c r="H11" s="254"/>
      <c r="I11" s="254"/>
      <c r="J11" s="254"/>
      <c r="K11" s="254"/>
      <c r="L11" s="301"/>
      <c r="M11" s="301"/>
      <c r="N11" s="341"/>
      <c r="O11" s="342"/>
      <c r="P11" s="344"/>
      <c r="Q11" s="353"/>
      <c r="R11" s="348"/>
      <c r="S11" s="353"/>
      <c r="T11" s="348"/>
      <c r="U11" s="347"/>
      <c r="V11" s="235" t="str">
        <f t="shared" si="2"/>
        <v/>
      </c>
      <c r="W11" s="235"/>
      <c r="X11" s="235" t="str">
        <f t="shared" si="0"/>
        <v/>
      </c>
      <c r="Y11" s="235"/>
      <c r="Z11" s="235" t="str">
        <f t="shared" si="3"/>
        <v/>
      </c>
      <c r="AA11" s="236"/>
      <c r="AD11" s="2" t="e">
        <f t="shared" si="4"/>
        <v>#VALUE!</v>
      </c>
      <c r="AE11" s="2" t="e">
        <f t="shared" si="5"/>
        <v>#VALUE!</v>
      </c>
      <c r="AG11" s="49" t="b">
        <v>0</v>
      </c>
      <c r="AH11" s="2" t="str">
        <f t="shared" si="6"/>
        <v>エラー</v>
      </c>
      <c r="AI11" s="2" t="str">
        <f t="shared" si="7"/>
        <v>エラー</v>
      </c>
      <c r="AK11" s="2" t="e">
        <f>IF(共通条件・結果!$AA$7="８地域",0.01*(16+19*(2*R11+T11)/P11),0.01*(16+24*(2*R11+T11)/P11))</f>
        <v>#DIV/0!</v>
      </c>
      <c r="AL11" s="2" t="e">
        <f t="shared" si="8"/>
        <v>#DIV/0!</v>
      </c>
      <c r="AN11" s="2">
        <f t="shared" si="9"/>
        <v>0</v>
      </c>
      <c r="AO11" s="40" t="str">
        <f t="shared" si="1"/>
        <v>FALSE</v>
      </c>
    </row>
    <row r="12" spans="2:41" s="2" customFormat="1" ht="21.95" customHeight="1">
      <c r="B12" s="248"/>
      <c r="C12" s="249"/>
      <c r="D12" s="250"/>
      <c r="E12" s="305"/>
      <c r="F12" s="306"/>
      <c r="G12" s="251"/>
      <c r="H12" s="250"/>
      <c r="I12" s="251"/>
      <c r="J12" s="250"/>
      <c r="K12" s="251"/>
      <c r="L12" s="315"/>
      <c r="M12" s="316"/>
      <c r="N12" s="341"/>
      <c r="O12" s="354"/>
      <c r="P12" s="344"/>
      <c r="Q12" s="353"/>
      <c r="R12" s="348"/>
      <c r="S12" s="353"/>
      <c r="T12" s="348"/>
      <c r="U12" s="347"/>
      <c r="V12" s="233" t="str">
        <f t="shared" si="2"/>
        <v/>
      </c>
      <c r="W12" s="234"/>
      <c r="X12" s="233" t="str">
        <f t="shared" si="0"/>
        <v/>
      </c>
      <c r="Y12" s="234"/>
      <c r="Z12" s="233" t="str">
        <f t="shared" si="3"/>
        <v/>
      </c>
      <c r="AA12" s="256"/>
      <c r="AD12" s="2" t="e">
        <f t="shared" si="4"/>
        <v>#VALUE!</v>
      </c>
      <c r="AE12" s="2" t="e">
        <f t="shared" si="5"/>
        <v>#VALUE!</v>
      </c>
      <c r="AG12" s="49" t="b">
        <v>0</v>
      </c>
      <c r="AH12" s="2" t="str">
        <f t="shared" si="6"/>
        <v>エラー</v>
      </c>
      <c r="AI12" s="2" t="str">
        <f t="shared" si="7"/>
        <v>エラー</v>
      </c>
      <c r="AK12" s="2" t="e">
        <f>IF(共通条件・結果!$AA$7="８地域",0.01*(16+19*(2*R12+T12)/P12),0.01*(16+24*(2*R12+T12)/P12))</f>
        <v>#DIV/0!</v>
      </c>
      <c r="AL12" s="2" t="e">
        <f t="shared" si="8"/>
        <v>#DIV/0!</v>
      </c>
      <c r="AN12" s="2">
        <f t="shared" si="9"/>
        <v>0</v>
      </c>
      <c r="AO12" s="40" t="str">
        <f t="shared" si="1"/>
        <v>FALSE</v>
      </c>
    </row>
    <row r="13" spans="2:41" s="2" customFormat="1" ht="21.95" customHeight="1">
      <c r="B13" s="248"/>
      <c r="C13" s="249"/>
      <c r="D13" s="250"/>
      <c r="E13" s="305"/>
      <c r="F13" s="306"/>
      <c r="G13" s="251"/>
      <c r="H13" s="250"/>
      <c r="I13" s="251"/>
      <c r="J13" s="250"/>
      <c r="K13" s="251"/>
      <c r="L13" s="315"/>
      <c r="M13" s="316"/>
      <c r="N13" s="341"/>
      <c r="O13" s="354"/>
      <c r="P13" s="344"/>
      <c r="Q13" s="353"/>
      <c r="R13" s="348"/>
      <c r="S13" s="353"/>
      <c r="T13" s="348"/>
      <c r="U13" s="347"/>
      <c r="V13" s="233" t="str">
        <f t="shared" si="2"/>
        <v/>
      </c>
      <c r="W13" s="234"/>
      <c r="X13" s="233" t="str">
        <f t="shared" si="0"/>
        <v/>
      </c>
      <c r="Y13" s="234"/>
      <c r="Z13" s="233" t="str">
        <f t="shared" si="3"/>
        <v/>
      </c>
      <c r="AA13" s="256"/>
      <c r="AD13" s="2" t="e">
        <f t="shared" si="4"/>
        <v>#VALUE!</v>
      </c>
      <c r="AE13" s="2" t="e">
        <f t="shared" si="5"/>
        <v>#VALUE!</v>
      </c>
      <c r="AG13" s="49" t="b">
        <v>0</v>
      </c>
      <c r="AH13" s="2" t="str">
        <f t="shared" si="6"/>
        <v>エラー</v>
      </c>
      <c r="AI13" s="2" t="str">
        <f t="shared" si="7"/>
        <v>エラー</v>
      </c>
      <c r="AK13" s="2" t="e">
        <f>IF(共通条件・結果!$AA$7="８地域",0.01*(16+19*(2*R13+T13)/P13),0.01*(16+24*(2*R13+T13)/P13))</f>
        <v>#DIV/0!</v>
      </c>
      <c r="AL13" s="2" t="e">
        <f t="shared" si="8"/>
        <v>#DIV/0!</v>
      </c>
      <c r="AN13" s="2">
        <f t="shared" si="9"/>
        <v>0</v>
      </c>
      <c r="AO13" s="40" t="str">
        <f t="shared" si="1"/>
        <v>FALSE</v>
      </c>
    </row>
    <row r="14" spans="2:41" s="2" customFormat="1" ht="21.95" customHeight="1">
      <c r="B14" s="248"/>
      <c r="C14" s="349"/>
      <c r="D14" s="350"/>
      <c r="E14" s="351"/>
      <c r="F14" s="351"/>
      <c r="G14" s="352"/>
      <c r="H14" s="254"/>
      <c r="I14" s="254"/>
      <c r="J14" s="254"/>
      <c r="K14" s="254"/>
      <c r="L14" s="301"/>
      <c r="M14" s="301"/>
      <c r="N14" s="341"/>
      <c r="O14" s="342"/>
      <c r="P14" s="344"/>
      <c r="Q14" s="353"/>
      <c r="R14" s="348"/>
      <c r="S14" s="353"/>
      <c r="T14" s="348"/>
      <c r="U14" s="347"/>
      <c r="V14" s="235" t="str">
        <f t="shared" si="2"/>
        <v/>
      </c>
      <c r="W14" s="235"/>
      <c r="X14" s="235" t="str">
        <f t="shared" si="0"/>
        <v/>
      </c>
      <c r="Y14" s="235"/>
      <c r="Z14" s="235" t="str">
        <f t="shared" si="3"/>
        <v/>
      </c>
      <c r="AA14" s="236"/>
      <c r="AD14" s="2" t="e">
        <f t="shared" si="4"/>
        <v>#VALUE!</v>
      </c>
      <c r="AE14" s="2" t="e">
        <f t="shared" si="5"/>
        <v>#VALUE!</v>
      </c>
      <c r="AG14" s="49" t="b">
        <v>0</v>
      </c>
      <c r="AH14" s="2" t="str">
        <f t="shared" si="6"/>
        <v>エラー</v>
      </c>
      <c r="AI14" s="2" t="str">
        <f t="shared" si="7"/>
        <v>エラー</v>
      </c>
      <c r="AK14" s="2" t="e">
        <f>IF(共通条件・結果!$AA$7="８地域",0.01*(16+19*(2*R14+T14)/P14),0.01*(16+24*(2*R14+T14)/P14))</f>
        <v>#DIV/0!</v>
      </c>
      <c r="AL14" s="2" t="e">
        <f t="shared" si="8"/>
        <v>#DIV/0!</v>
      </c>
      <c r="AN14" s="2">
        <f t="shared" si="9"/>
        <v>0</v>
      </c>
      <c r="AO14" s="40" t="str">
        <f t="shared" si="1"/>
        <v>FALSE</v>
      </c>
    </row>
    <row r="15" spans="2:41" s="2" customFormat="1" ht="21.95" customHeight="1">
      <c r="B15" s="248"/>
      <c r="C15" s="349"/>
      <c r="D15" s="350"/>
      <c r="E15" s="351"/>
      <c r="F15" s="351"/>
      <c r="G15" s="352"/>
      <c r="H15" s="254"/>
      <c r="I15" s="254"/>
      <c r="J15" s="254"/>
      <c r="K15" s="254"/>
      <c r="L15" s="301"/>
      <c r="M15" s="301"/>
      <c r="N15" s="341"/>
      <c r="O15" s="342"/>
      <c r="P15" s="344"/>
      <c r="Q15" s="353"/>
      <c r="R15" s="348"/>
      <c r="S15" s="353"/>
      <c r="T15" s="348"/>
      <c r="U15" s="347"/>
      <c r="V15" s="233" t="str">
        <f t="shared" si="2"/>
        <v/>
      </c>
      <c r="W15" s="234"/>
      <c r="X15" s="235" t="str">
        <f t="shared" si="0"/>
        <v/>
      </c>
      <c r="Y15" s="235"/>
      <c r="Z15" s="235" t="str">
        <f t="shared" si="3"/>
        <v/>
      </c>
      <c r="AA15" s="236"/>
      <c r="AD15" s="2" t="e">
        <f t="shared" si="4"/>
        <v>#VALUE!</v>
      </c>
      <c r="AE15" s="2" t="e">
        <f t="shared" si="5"/>
        <v>#VALUE!</v>
      </c>
      <c r="AG15" s="49" t="b">
        <v>0</v>
      </c>
      <c r="AH15" s="2" t="str">
        <f t="shared" si="6"/>
        <v>エラー</v>
      </c>
      <c r="AI15" s="2" t="str">
        <f t="shared" si="7"/>
        <v>エラー</v>
      </c>
      <c r="AK15" s="2" t="e">
        <f>IF(共通条件・結果!$AA$7="８地域",0.01*(16+19*(2*R15+T15)/P15),0.01*(16+24*(2*R15+T15)/P15))</f>
        <v>#DIV/0!</v>
      </c>
      <c r="AL15" s="2" t="e">
        <f t="shared" si="8"/>
        <v>#DIV/0!</v>
      </c>
      <c r="AN15" s="2">
        <f t="shared" si="9"/>
        <v>0</v>
      </c>
      <c r="AO15" s="40" t="str">
        <f t="shared" si="1"/>
        <v>FALSE</v>
      </c>
    </row>
    <row r="16" spans="2:41" s="2" customFormat="1" ht="21.95" customHeight="1">
      <c r="B16" s="248"/>
      <c r="C16" s="349"/>
      <c r="D16" s="350"/>
      <c r="E16" s="351"/>
      <c r="F16" s="351"/>
      <c r="G16" s="352"/>
      <c r="H16" s="254"/>
      <c r="I16" s="254"/>
      <c r="J16" s="254"/>
      <c r="K16" s="254"/>
      <c r="L16" s="301"/>
      <c r="M16" s="301"/>
      <c r="N16" s="341"/>
      <c r="O16" s="342"/>
      <c r="P16" s="344"/>
      <c r="Q16" s="353"/>
      <c r="R16" s="348"/>
      <c r="S16" s="353"/>
      <c r="T16" s="348"/>
      <c r="U16" s="347"/>
      <c r="V16" s="233" t="str">
        <f t="shared" si="2"/>
        <v/>
      </c>
      <c r="W16" s="234"/>
      <c r="X16" s="235" t="str">
        <f t="shared" si="0"/>
        <v/>
      </c>
      <c r="Y16" s="235"/>
      <c r="Z16" s="235" t="str">
        <f t="shared" si="3"/>
        <v/>
      </c>
      <c r="AA16" s="236"/>
      <c r="AD16" s="2" t="e">
        <f t="shared" si="4"/>
        <v>#VALUE!</v>
      </c>
      <c r="AE16" s="2" t="e">
        <f t="shared" si="5"/>
        <v>#VALUE!</v>
      </c>
      <c r="AG16" s="49" t="b">
        <v>0</v>
      </c>
      <c r="AH16" s="2" t="str">
        <f t="shared" si="6"/>
        <v>エラー</v>
      </c>
      <c r="AI16" s="2" t="str">
        <f t="shared" si="7"/>
        <v>エラー</v>
      </c>
      <c r="AK16" s="2" t="e">
        <f>IF(共通条件・結果!$AA$7="８地域",0.01*(16+19*(2*R16+T16)/P16),0.01*(16+24*(2*R16+T16)/P16))</f>
        <v>#DIV/0!</v>
      </c>
      <c r="AL16" s="2" t="e">
        <f t="shared" si="8"/>
        <v>#DIV/0!</v>
      </c>
      <c r="AN16" s="2">
        <f t="shared" si="9"/>
        <v>0</v>
      </c>
      <c r="AO16" s="40" t="str">
        <f t="shared" si="1"/>
        <v>FALSE</v>
      </c>
    </row>
    <row r="17" spans="2:41" s="2" customFormat="1" ht="21.95" customHeight="1">
      <c r="B17" s="248"/>
      <c r="C17" s="349"/>
      <c r="D17" s="350"/>
      <c r="E17" s="351"/>
      <c r="F17" s="351"/>
      <c r="G17" s="352"/>
      <c r="H17" s="254"/>
      <c r="I17" s="254"/>
      <c r="J17" s="254"/>
      <c r="K17" s="254"/>
      <c r="L17" s="301"/>
      <c r="M17" s="301"/>
      <c r="N17" s="341"/>
      <c r="O17" s="342"/>
      <c r="P17" s="343"/>
      <c r="Q17" s="344"/>
      <c r="R17" s="348"/>
      <c r="S17" s="353"/>
      <c r="T17" s="348"/>
      <c r="U17" s="347"/>
      <c r="V17" s="233" t="str">
        <f t="shared" si="2"/>
        <v/>
      </c>
      <c r="W17" s="234"/>
      <c r="X17" s="235" t="str">
        <f t="shared" si="0"/>
        <v/>
      </c>
      <c r="Y17" s="235"/>
      <c r="Z17" s="235" t="str">
        <f t="shared" si="3"/>
        <v/>
      </c>
      <c r="AA17" s="236"/>
      <c r="AD17" s="2" t="e">
        <f t="shared" si="4"/>
        <v>#VALUE!</v>
      </c>
      <c r="AE17" s="2" t="e">
        <f t="shared" si="5"/>
        <v>#VALUE!</v>
      </c>
      <c r="AG17" s="49" t="b">
        <v>0</v>
      </c>
      <c r="AH17" s="2" t="str">
        <f t="shared" si="6"/>
        <v>エラー</v>
      </c>
      <c r="AI17" s="2" t="str">
        <f t="shared" si="7"/>
        <v>エラー</v>
      </c>
      <c r="AK17" s="2" t="e">
        <f>IF(共通条件・結果!$AA$7="８地域",0.01*(16+19*(2*R17+T17)/P17),0.01*(16+24*(2*R17+T17)/P17))</f>
        <v>#DIV/0!</v>
      </c>
      <c r="AL17" s="2" t="e">
        <f t="shared" si="8"/>
        <v>#DIV/0!</v>
      </c>
      <c r="AN17" s="2">
        <f t="shared" si="9"/>
        <v>0</v>
      </c>
      <c r="AO17" s="40" t="str">
        <f t="shared" si="1"/>
        <v>FALSE</v>
      </c>
    </row>
    <row r="18" spans="2:41" s="2" customFormat="1" ht="21.95" customHeight="1">
      <c r="B18" s="248"/>
      <c r="C18" s="349"/>
      <c r="D18" s="350"/>
      <c r="E18" s="351"/>
      <c r="F18" s="351"/>
      <c r="G18" s="352"/>
      <c r="H18" s="254"/>
      <c r="I18" s="254"/>
      <c r="J18" s="254"/>
      <c r="K18" s="254"/>
      <c r="L18" s="301"/>
      <c r="M18" s="301"/>
      <c r="N18" s="341"/>
      <c r="O18" s="342"/>
      <c r="P18" s="343"/>
      <c r="Q18" s="344"/>
      <c r="R18" s="345"/>
      <c r="S18" s="346"/>
      <c r="T18" s="347"/>
      <c r="U18" s="343"/>
      <c r="V18" s="233" t="str">
        <f t="shared" si="2"/>
        <v/>
      </c>
      <c r="W18" s="234"/>
      <c r="X18" s="235" t="str">
        <f t="shared" si="0"/>
        <v/>
      </c>
      <c r="Y18" s="235"/>
      <c r="Z18" s="235" t="str">
        <f t="shared" si="3"/>
        <v/>
      </c>
      <c r="AA18" s="236"/>
      <c r="AD18" s="2" t="e">
        <f t="shared" si="4"/>
        <v>#VALUE!</v>
      </c>
      <c r="AE18" s="2" t="e">
        <f t="shared" si="5"/>
        <v>#VALUE!</v>
      </c>
      <c r="AG18" s="49" t="b">
        <v>0</v>
      </c>
      <c r="AH18" s="2" t="str">
        <f t="shared" si="6"/>
        <v>エラー</v>
      </c>
      <c r="AI18" s="2" t="str">
        <f t="shared" si="7"/>
        <v>エラー</v>
      </c>
      <c r="AK18" s="2" t="e">
        <f>IF(共通条件・結果!$AA$7="８地域",0.01*(16+19*(2*R18+T18)/P18),0.01*(16+24*(2*R18+T18)/P18))</f>
        <v>#DIV/0!</v>
      </c>
      <c r="AL18" s="2" t="e">
        <f t="shared" si="8"/>
        <v>#DIV/0!</v>
      </c>
      <c r="AN18" s="2">
        <f t="shared" si="9"/>
        <v>0</v>
      </c>
      <c r="AO18" s="40" t="str">
        <f t="shared" si="1"/>
        <v>FALSE</v>
      </c>
    </row>
    <row r="19" spans="2:41" s="2" customFormat="1" ht="21.95" customHeight="1" thickBot="1">
      <c r="B19" s="237"/>
      <c r="C19" s="334"/>
      <c r="D19" s="297"/>
      <c r="E19" s="298"/>
      <c r="F19" s="298"/>
      <c r="G19" s="299"/>
      <c r="H19" s="300"/>
      <c r="I19" s="300"/>
      <c r="J19" s="300"/>
      <c r="K19" s="300"/>
      <c r="L19" s="335"/>
      <c r="M19" s="335"/>
      <c r="N19" s="336"/>
      <c r="O19" s="337"/>
      <c r="P19" s="333"/>
      <c r="Q19" s="338"/>
      <c r="R19" s="339"/>
      <c r="S19" s="340"/>
      <c r="T19" s="332"/>
      <c r="U19" s="333"/>
      <c r="V19" s="233" t="str">
        <f t="shared" si="2"/>
        <v/>
      </c>
      <c r="W19" s="234"/>
      <c r="X19" s="235" t="str">
        <f t="shared" si="0"/>
        <v/>
      </c>
      <c r="Y19" s="235"/>
      <c r="Z19" s="244" t="str">
        <f t="shared" si="3"/>
        <v/>
      </c>
      <c r="AA19" s="247"/>
      <c r="AD19" s="2" t="e">
        <f t="shared" si="4"/>
        <v>#VALUE!</v>
      </c>
      <c r="AE19" s="2" t="e">
        <f t="shared" si="5"/>
        <v>#VALUE!</v>
      </c>
      <c r="AG19" s="49" t="b">
        <v>0</v>
      </c>
      <c r="AH19" s="2" t="str">
        <f t="shared" si="6"/>
        <v>エラー</v>
      </c>
      <c r="AI19" s="2" t="str">
        <f t="shared" si="7"/>
        <v>エラー</v>
      </c>
      <c r="AK19" s="2" t="e">
        <f>IF(共通条件・結果!$AA$7="８地域",0.01*(16+19*(2*R19+T19)/P19),0.01*(16+24*(2*R19+T19)/P19))</f>
        <v>#DIV/0!</v>
      </c>
      <c r="AL19" s="2" t="e">
        <f t="shared" si="8"/>
        <v>#DIV/0!</v>
      </c>
      <c r="AN19" s="2">
        <f t="shared" si="9"/>
        <v>0</v>
      </c>
      <c r="AO19" s="40" t="str">
        <f t="shared" si="1"/>
        <v>FALSE</v>
      </c>
    </row>
    <row r="20" spans="2:41" s="2" customFormat="1" ht="21.95" customHeight="1" thickBot="1">
      <c r="B20" s="218" t="s">
        <v>220</v>
      </c>
      <c r="C20" s="219"/>
      <c r="D20" s="219"/>
      <c r="E20" s="219"/>
      <c r="F20" s="219"/>
      <c r="G20" s="219"/>
      <c r="H20" s="219"/>
      <c r="I20" s="219"/>
      <c r="J20" s="219"/>
      <c r="K20" s="219"/>
      <c r="L20" s="219"/>
      <c r="M20" s="219"/>
      <c r="N20" s="219"/>
      <c r="O20" s="219"/>
      <c r="P20" s="219"/>
      <c r="Q20" s="219"/>
      <c r="R20" s="219"/>
      <c r="S20" s="219"/>
      <c r="T20" s="219"/>
      <c r="U20" s="219"/>
      <c r="V20" s="220">
        <f>SUM(V8:W19)</f>
        <v>0</v>
      </c>
      <c r="W20" s="220"/>
      <c r="X20" s="220">
        <f>IF(共通条件・結果!AA7="８地域","-",SUM(X8:Y19))</f>
        <v>0</v>
      </c>
      <c r="Y20" s="220"/>
      <c r="Z20" s="220">
        <f>SUM(Z8:AA19)</f>
        <v>0</v>
      </c>
      <c r="AA20" s="221"/>
    </row>
    <row r="21" spans="2:41" s="2" customFormat="1" ht="9.9499999999999993" customHeight="1">
      <c r="AN21" s="307"/>
      <c r="AO21" s="307"/>
    </row>
    <row r="22" spans="2:41" s="2" customFormat="1" ht="21.95" customHeight="1" thickBot="1">
      <c r="E22" s="4"/>
      <c r="J22" s="4" t="s">
        <v>13</v>
      </c>
    </row>
    <row r="23" spans="2:41" s="2" customFormat="1" ht="21.95" customHeight="1">
      <c r="J23" s="266" t="s">
        <v>14</v>
      </c>
      <c r="K23" s="183"/>
      <c r="L23" s="183"/>
      <c r="M23" s="267"/>
      <c r="N23" s="322" t="s">
        <v>153</v>
      </c>
      <c r="O23" s="183"/>
      <c r="P23" s="183"/>
      <c r="Q23" s="267"/>
      <c r="R23" s="284" t="s">
        <v>154</v>
      </c>
      <c r="S23" s="285"/>
      <c r="T23" s="324" t="s">
        <v>9</v>
      </c>
      <c r="U23" s="325"/>
      <c r="V23" s="272" t="s">
        <v>158</v>
      </c>
      <c r="W23" s="273"/>
      <c r="X23" s="272" t="s">
        <v>156</v>
      </c>
      <c r="Y23" s="273"/>
      <c r="Z23" s="272" t="s">
        <v>123</v>
      </c>
      <c r="AA23" s="184"/>
      <c r="AN23" s="307" t="s">
        <v>58</v>
      </c>
      <c r="AO23" s="307"/>
    </row>
    <row r="24" spans="2:41" s="2" customFormat="1" ht="21.95" customHeight="1">
      <c r="J24" s="268"/>
      <c r="K24" s="307"/>
      <c r="L24" s="307"/>
      <c r="M24" s="269"/>
      <c r="N24" s="195"/>
      <c r="O24" s="196"/>
      <c r="P24" s="196"/>
      <c r="Q24" s="323"/>
      <c r="R24" s="288"/>
      <c r="S24" s="286"/>
      <c r="T24" s="326"/>
      <c r="U24" s="327"/>
      <c r="V24" s="274"/>
      <c r="W24" s="275"/>
      <c r="X24" s="274"/>
      <c r="Y24" s="275"/>
      <c r="Z24" s="318"/>
      <c r="AA24" s="319"/>
      <c r="AN24" s="40"/>
      <c r="AO24" s="40"/>
    </row>
    <row r="25" spans="2:41" s="2" customFormat="1" ht="21.95" customHeight="1" thickBot="1">
      <c r="J25" s="270"/>
      <c r="K25" s="317"/>
      <c r="L25" s="317"/>
      <c r="M25" s="271"/>
      <c r="N25" s="329" t="s">
        <v>8</v>
      </c>
      <c r="O25" s="330"/>
      <c r="P25" s="331" t="s">
        <v>7</v>
      </c>
      <c r="Q25" s="287"/>
      <c r="R25" s="287"/>
      <c r="S25" s="287"/>
      <c r="T25" s="328"/>
      <c r="U25" s="328"/>
      <c r="V25" s="276"/>
      <c r="W25" s="277"/>
      <c r="X25" s="276"/>
      <c r="Y25" s="277"/>
      <c r="Z25" s="320"/>
      <c r="AA25" s="321"/>
      <c r="AN25" s="72" t="s">
        <v>56</v>
      </c>
      <c r="AO25" s="2" t="s">
        <v>54</v>
      </c>
    </row>
    <row r="26" spans="2:41" s="2" customFormat="1" ht="21.95" customHeight="1">
      <c r="D26" s="89"/>
      <c r="E26" s="89"/>
      <c r="J26" s="308"/>
      <c r="K26" s="309"/>
      <c r="L26" s="309"/>
      <c r="M26" s="310"/>
      <c r="N26" s="311"/>
      <c r="O26" s="312"/>
      <c r="P26" s="312"/>
      <c r="Q26" s="313"/>
      <c r="R26" s="263"/>
      <c r="S26" s="263"/>
      <c r="T26" s="314"/>
      <c r="U26" s="314"/>
      <c r="V26" s="264" t="str">
        <f>IF(N26="","",N26*P26*R26*0.034*$V$4)</f>
        <v/>
      </c>
      <c r="W26" s="264"/>
      <c r="X26" s="264" t="str">
        <f>IF(N26="","",IF(ISERROR(N26*P26*R26*0.034*$X$4),"-",N26*P26*R26*0.034*$X$4))</f>
        <v/>
      </c>
      <c r="Y26" s="264"/>
      <c r="Z26" s="264" t="str">
        <f>IF(N26="","",N26*P26*AN26)</f>
        <v/>
      </c>
      <c r="AA26" s="265"/>
      <c r="AD26" s="49"/>
      <c r="AN26" s="2">
        <f>IF(AO26="FALSE",R26,IF(T26="風除室",1/((1/R26)+0.1),0.5*R26+0.5*(1/((1/R26)+AO26))))</f>
        <v>0</v>
      </c>
      <c r="AO26" s="40" t="str">
        <f>IF(T26="","FALSE",IF(T26="雨戸",0.1,IF(T26="ｼｬｯﾀｰ",0.1,IF(T26="障子",0.18,IF(T26="風除室",0.1)))))</f>
        <v>FALSE</v>
      </c>
    </row>
    <row r="27" spans="2:41" s="2" customFormat="1" ht="21.95" customHeight="1">
      <c r="D27" s="89"/>
      <c r="E27" s="89"/>
      <c r="J27" s="302"/>
      <c r="K27" s="303"/>
      <c r="L27" s="303"/>
      <c r="M27" s="304"/>
      <c r="N27" s="250"/>
      <c r="O27" s="305"/>
      <c r="P27" s="306"/>
      <c r="Q27" s="251"/>
      <c r="R27" s="250"/>
      <c r="S27" s="251"/>
      <c r="T27" s="315"/>
      <c r="U27" s="316"/>
      <c r="V27" s="233" t="str">
        <f>IF(N27="","",N27*P27*R27*0.034*$V$4)</f>
        <v/>
      </c>
      <c r="W27" s="234"/>
      <c r="X27" s="233" t="str">
        <f>IF(N27="","",IF(ISERROR(N27*P27*R27*0.034*$X$4),"-",N27*P27*R27*0.034*$X$4))</f>
        <v/>
      </c>
      <c r="Y27" s="234"/>
      <c r="Z27" s="233" t="str">
        <f>IF(N27="","",N27*P27*AN27)</f>
        <v/>
      </c>
      <c r="AA27" s="256"/>
      <c r="AD27" s="49"/>
      <c r="AN27" s="2">
        <f>IF(AO27="FALSE",R27,IF(T27="風除室",1/((1/R27)+0.1),0.5*R27+0.5*(1/((1/R27)+AO27))))</f>
        <v>0</v>
      </c>
      <c r="AO27" s="40" t="str">
        <f>IF(T27="","FALSE",IF(T27="雨戸",0.1,IF(T27="ｼｬｯﾀｰ",0.1,IF(T27="障子",0.18,IF(T27="風除室",0.1)))))</f>
        <v>FALSE</v>
      </c>
    </row>
    <row r="28" spans="2:41" s="2" customFormat="1" ht="21.95" customHeight="1" thickBot="1">
      <c r="D28" s="89"/>
      <c r="E28" s="89"/>
      <c r="J28" s="294"/>
      <c r="K28" s="295"/>
      <c r="L28" s="295"/>
      <c r="M28" s="296"/>
      <c r="N28" s="297"/>
      <c r="O28" s="298"/>
      <c r="P28" s="298"/>
      <c r="Q28" s="299"/>
      <c r="R28" s="300"/>
      <c r="S28" s="300"/>
      <c r="T28" s="301"/>
      <c r="U28" s="301"/>
      <c r="V28" s="289" t="str">
        <f>IF(N28="","",N28*P28*R28*0.034*$V$4)</f>
        <v/>
      </c>
      <c r="W28" s="289"/>
      <c r="X28" s="289" t="str">
        <f>IF(N28="","",IF(ISERROR(N28*P28*R28*0.034*$X$4),"-",N28*P28*R28*0.034*$X$4))</f>
        <v/>
      </c>
      <c r="Y28" s="289"/>
      <c r="Z28" s="289" t="str">
        <f>IF(N28="","",N28*P28*AN28)</f>
        <v/>
      </c>
      <c r="AA28" s="290"/>
      <c r="AD28" s="49"/>
      <c r="AN28" s="2">
        <f>IF(AO28="FALSE",R28,IF(T28="風除室",1/((1/R28)+0.1),0.5*R28+0.5*(1/((1/R28)+AO28))))</f>
        <v>0</v>
      </c>
      <c r="AO28" s="40" t="str">
        <f>IF(T28="","FALSE",IF(T28="雨戸",0.1,IF(T28="ｼｬｯﾀｰ",0.1,IF(T28="障子",0.18,IF(T28="風除室",0.1)))))</f>
        <v>FALSE</v>
      </c>
    </row>
    <row r="29" spans="2:41" s="2" customFormat="1" ht="21.95" customHeight="1" thickBot="1">
      <c r="J29" s="218" t="s">
        <v>221</v>
      </c>
      <c r="K29" s="219"/>
      <c r="L29" s="219"/>
      <c r="M29" s="219"/>
      <c r="N29" s="219"/>
      <c r="O29" s="219"/>
      <c r="P29" s="219"/>
      <c r="Q29" s="219"/>
      <c r="R29" s="219"/>
      <c r="S29" s="219"/>
      <c r="T29" s="219"/>
      <c r="U29" s="366"/>
      <c r="V29" s="220">
        <f>SUM(V26:W28)</f>
        <v>0</v>
      </c>
      <c r="W29" s="220"/>
      <c r="X29" s="220">
        <f>SUM(X26:Y28)</f>
        <v>0</v>
      </c>
      <c r="Y29" s="220"/>
      <c r="Z29" s="220">
        <f>SUM(Z26:AA28)</f>
        <v>0</v>
      </c>
      <c r="AA29" s="221"/>
      <c r="AO29" s="40"/>
    </row>
    <row r="30" spans="2:41" s="2" customFormat="1" ht="9.9499999999999993" customHeight="1">
      <c r="J30" s="26"/>
      <c r="K30" s="26"/>
      <c r="L30" s="26"/>
      <c r="M30" s="26"/>
      <c r="N30" s="26"/>
      <c r="O30" s="26"/>
      <c r="P30" s="26"/>
      <c r="Q30" s="26"/>
      <c r="R30" s="26"/>
      <c r="S30" s="26"/>
      <c r="T30" s="26"/>
      <c r="U30" s="26"/>
      <c r="V30" s="73"/>
      <c r="W30" s="73"/>
      <c r="X30" s="73"/>
      <c r="Y30" s="73"/>
      <c r="Z30" s="73"/>
      <c r="AA30" s="73"/>
      <c r="AO30" s="40"/>
    </row>
    <row r="31" spans="2:41" s="2" customFormat="1" ht="21.95" customHeight="1" thickBot="1">
      <c r="J31" s="4" t="s">
        <v>15</v>
      </c>
      <c r="K31" s="4"/>
      <c r="L31" s="4"/>
      <c r="AO31" s="40"/>
    </row>
    <row r="32" spans="2:41" s="2" customFormat="1" ht="21.95" customHeight="1">
      <c r="J32" s="266" t="s">
        <v>0</v>
      </c>
      <c r="K32" s="267"/>
      <c r="L32" s="272" t="s">
        <v>159</v>
      </c>
      <c r="M32" s="273"/>
      <c r="N32" s="272" t="s">
        <v>160</v>
      </c>
      <c r="O32" s="273"/>
      <c r="P32" s="278" t="s">
        <v>161</v>
      </c>
      <c r="Q32" s="279"/>
      <c r="R32" s="284" t="s">
        <v>154</v>
      </c>
      <c r="S32" s="285"/>
      <c r="T32" s="284" t="s">
        <v>158</v>
      </c>
      <c r="U32" s="285"/>
      <c r="V32" s="284" t="s">
        <v>156</v>
      </c>
      <c r="W32" s="285"/>
      <c r="X32" s="284" t="s">
        <v>123</v>
      </c>
      <c r="Y32" s="291"/>
      <c r="AO32" s="40"/>
    </row>
    <row r="33" spans="2:41" s="2" customFormat="1" ht="21.95" customHeight="1">
      <c r="J33" s="268"/>
      <c r="K33" s="269"/>
      <c r="L33" s="274"/>
      <c r="M33" s="275"/>
      <c r="N33" s="274"/>
      <c r="O33" s="275"/>
      <c r="P33" s="280"/>
      <c r="Q33" s="281"/>
      <c r="R33" s="286"/>
      <c r="S33" s="286"/>
      <c r="T33" s="288"/>
      <c r="U33" s="286"/>
      <c r="V33" s="288"/>
      <c r="W33" s="286"/>
      <c r="X33" s="286"/>
      <c r="Y33" s="292"/>
      <c r="AO33" s="40"/>
    </row>
    <row r="34" spans="2:41" s="2" customFormat="1" ht="21.95" customHeight="1" thickBot="1">
      <c r="J34" s="270"/>
      <c r="K34" s="271"/>
      <c r="L34" s="276"/>
      <c r="M34" s="277"/>
      <c r="N34" s="276"/>
      <c r="O34" s="277"/>
      <c r="P34" s="282"/>
      <c r="Q34" s="283"/>
      <c r="R34" s="287"/>
      <c r="S34" s="287"/>
      <c r="T34" s="287"/>
      <c r="U34" s="287"/>
      <c r="V34" s="287"/>
      <c r="W34" s="287"/>
      <c r="X34" s="287"/>
      <c r="Y34" s="293"/>
    </row>
    <row r="35" spans="2:41" s="2" customFormat="1" ht="21.95" customHeight="1">
      <c r="J35" s="257"/>
      <c r="K35" s="258"/>
      <c r="L35" s="259"/>
      <c r="M35" s="260"/>
      <c r="N35" s="259"/>
      <c r="O35" s="260"/>
      <c r="P35" s="261" t="str">
        <f>IF(L35="","",L35-N35)</f>
        <v/>
      </c>
      <c r="Q35" s="262"/>
      <c r="R35" s="263"/>
      <c r="S35" s="263"/>
      <c r="T35" s="235" t="str">
        <f>IF(P35="","",P35*R35*0.034*$V$4)</f>
        <v/>
      </c>
      <c r="U35" s="235"/>
      <c r="V35" s="233" t="str">
        <f>IF(P35="","",IF(ISERROR(P35*R35*0.034*$X$4),"-",P35*R35*0.034*$X$4))</f>
        <v/>
      </c>
      <c r="W35" s="234"/>
      <c r="X35" s="264" t="str">
        <f>IF(R35="","",R35*P35)</f>
        <v/>
      </c>
      <c r="Y35" s="265"/>
      <c r="AD35" s="49"/>
      <c r="AE35" s="49"/>
      <c r="AF35" s="49"/>
    </row>
    <row r="36" spans="2:41" s="2" customFormat="1" ht="21.95" customHeight="1">
      <c r="J36" s="248"/>
      <c r="K36" s="249"/>
      <c r="L36" s="250"/>
      <c r="M36" s="251"/>
      <c r="N36" s="250"/>
      <c r="O36" s="251"/>
      <c r="P36" s="252" t="str">
        <f t="shared" ref="P36:P37" si="10">IF(L36="","",L36-N36)</f>
        <v/>
      </c>
      <c r="Q36" s="253"/>
      <c r="R36" s="250"/>
      <c r="S36" s="251"/>
      <c r="T36" s="233" t="str">
        <f t="shared" ref="T36:T39" si="11">IF(P36="","",P36*R36*0.034*$V$4)</f>
        <v/>
      </c>
      <c r="U36" s="234"/>
      <c r="V36" s="233" t="str">
        <f t="shared" ref="V36:V39" si="12">IF(P36="","",IF(ISERROR(P36*R36*0.034*$X$4),"-",P36*R36*0.034*$X$4))</f>
        <v/>
      </c>
      <c r="W36" s="234"/>
      <c r="X36" s="233" t="str">
        <f t="shared" ref="X36:X39" si="13">IF(R36="","",R36*P36)</f>
        <v/>
      </c>
      <c r="Y36" s="256"/>
      <c r="AD36" s="49"/>
      <c r="AE36" s="49"/>
      <c r="AF36" s="49"/>
    </row>
    <row r="37" spans="2:41" s="2" customFormat="1" ht="21.95" customHeight="1">
      <c r="J37" s="248"/>
      <c r="K37" s="249"/>
      <c r="L37" s="250"/>
      <c r="M37" s="251"/>
      <c r="N37" s="250"/>
      <c r="O37" s="251"/>
      <c r="P37" s="252" t="str">
        <f t="shared" si="10"/>
        <v/>
      </c>
      <c r="Q37" s="253"/>
      <c r="R37" s="250"/>
      <c r="S37" s="251"/>
      <c r="T37" s="233" t="str">
        <f t="shared" si="11"/>
        <v/>
      </c>
      <c r="U37" s="234"/>
      <c r="V37" s="233" t="str">
        <f t="shared" si="12"/>
        <v/>
      </c>
      <c r="W37" s="234"/>
      <c r="X37" s="233" t="str">
        <f t="shared" si="13"/>
        <v/>
      </c>
      <c r="Y37" s="256"/>
      <c r="AD37" s="49"/>
      <c r="AE37" s="49"/>
      <c r="AF37" s="49"/>
    </row>
    <row r="38" spans="2:41" s="2" customFormat="1" ht="21.95" customHeight="1">
      <c r="J38" s="248"/>
      <c r="K38" s="249"/>
      <c r="L38" s="250"/>
      <c r="M38" s="251"/>
      <c r="N38" s="250"/>
      <c r="O38" s="251"/>
      <c r="P38" s="252" t="str">
        <f>IF(L38="","",L38-N38)</f>
        <v/>
      </c>
      <c r="Q38" s="253"/>
      <c r="R38" s="254"/>
      <c r="S38" s="254"/>
      <c r="T38" s="235" t="str">
        <f t="shared" si="11"/>
        <v/>
      </c>
      <c r="U38" s="235"/>
      <c r="V38" s="233" t="str">
        <f t="shared" si="12"/>
        <v/>
      </c>
      <c r="W38" s="234"/>
      <c r="X38" s="235" t="str">
        <f t="shared" si="13"/>
        <v/>
      </c>
      <c r="Y38" s="236"/>
      <c r="AD38" s="49"/>
      <c r="AE38" s="49"/>
      <c r="AF38" s="49"/>
    </row>
    <row r="39" spans="2:41" s="2" customFormat="1" ht="21.95" customHeight="1" thickBot="1">
      <c r="J39" s="237"/>
      <c r="K39" s="238"/>
      <c r="L39" s="239"/>
      <c r="M39" s="240"/>
      <c r="N39" s="239"/>
      <c r="O39" s="240"/>
      <c r="P39" s="241" t="str">
        <f>IF(L39="","",L39-N39)</f>
        <v/>
      </c>
      <c r="Q39" s="242"/>
      <c r="R39" s="243"/>
      <c r="S39" s="243"/>
      <c r="T39" s="244" t="str">
        <f t="shared" si="11"/>
        <v/>
      </c>
      <c r="U39" s="244"/>
      <c r="V39" s="245" t="str">
        <f t="shared" si="12"/>
        <v/>
      </c>
      <c r="W39" s="246"/>
      <c r="X39" s="244" t="str">
        <f t="shared" si="13"/>
        <v/>
      </c>
      <c r="Y39" s="247"/>
      <c r="AD39" s="49"/>
      <c r="AE39" s="49"/>
      <c r="AF39" s="49"/>
    </row>
    <row r="40" spans="2:41" s="2" customFormat="1" ht="21.95" customHeight="1" thickBot="1">
      <c r="J40" s="218" t="s">
        <v>222</v>
      </c>
      <c r="K40" s="219"/>
      <c r="L40" s="219"/>
      <c r="M40" s="219"/>
      <c r="N40" s="219"/>
      <c r="O40" s="219"/>
      <c r="P40" s="219"/>
      <c r="Q40" s="219"/>
      <c r="R40" s="219"/>
      <c r="S40" s="219"/>
      <c r="T40" s="220">
        <f>SUM(T35:U39)</f>
        <v>0</v>
      </c>
      <c r="U40" s="220"/>
      <c r="V40" s="220">
        <f>IF(共通条件・結果!AA7="８地域","-",SUM(V35:W39))</f>
        <v>0</v>
      </c>
      <c r="W40" s="220"/>
      <c r="X40" s="220">
        <f>SUM(X35:Y39)</f>
        <v>0</v>
      </c>
      <c r="Y40" s="221"/>
    </row>
    <row r="41" spans="2:41" s="2" customFormat="1" ht="12">
      <c r="J41" s="74" t="s">
        <v>168</v>
      </c>
    </row>
    <row r="42" spans="2:41" s="2" customFormat="1" ht="21.95" customHeight="1" thickBot="1">
      <c r="B42" s="4" t="s">
        <v>223</v>
      </c>
    </row>
    <row r="43" spans="2:41" s="2" customFormat="1" ht="21.95" customHeight="1">
      <c r="B43" s="222" t="s">
        <v>194</v>
      </c>
      <c r="C43" s="223"/>
      <c r="D43" s="149" t="s">
        <v>37</v>
      </c>
      <c r="E43" s="150"/>
      <c r="F43" s="150"/>
      <c r="G43" s="150"/>
      <c r="H43" s="150"/>
      <c r="I43" s="150"/>
      <c r="J43" s="151"/>
      <c r="K43" s="68"/>
      <c r="L43" s="228">
        <f>Q43+U43+Y43</f>
        <v>0</v>
      </c>
      <c r="M43" s="228"/>
      <c r="N43" s="228"/>
      <c r="O43" s="68" t="s">
        <v>22</v>
      </c>
      <c r="P43" s="11" t="s">
        <v>21</v>
      </c>
      <c r="Q43" s="229">
        <f>D8*F8+D9*F9+D10*F10+D11*F11+D12*F12+D13*F13+D14*F14+D15*F15+D16*F16+D17*F17+D18*F18+D19*F19</f>
        <v>0</v>
      </c>
      <c r="R43" s="229"/>
      <c r="S43" s="75" t="s">
        <v>23</v>
      </c>
      <c r="T43" s="75" t="s">
        <v>20</v>
      </c>
      <c r="U43" s="230">
        <f>N26*P26+N27*P27+N28*P28</f>
        <v>0</v>
      </c>
      <c r="V43" s="230"/>
      <c r="W43" s="75" t="s">
        <v>23</v>
      </c>
      <c r="X43" s="75" t="s">
        <v>1</v>
      </c>
      <c r="Y43" s="232">
        <f>SUM(P35:Q39)</f>
        <v>0</v>
      </c>
      <c r="Z43" s="232"/>
      <c r="AA43" s="76" t="s">
        <v>17</v>
      </c>
    </row>
    <row r="44" spans="2:41" s="2" customFormat="1" ht="21.95" customHeight="1">
      <c r="B44" s="224"/>
      <c r="C44" s="225"/>
      <c r="D44" s="154" t="s">
        <v>47</v>
      </c>
      <c r="E44" s="155"/>
      <c r="F44" s="155"/>
      <c r="G44" s="155"/>
      <c r="H44" s="155"/>
      <c r="I44" s="155"/>
      <c r="J44" s="156"/>
      <c r="K44" s="71"/>
      <c r="L44" s="71"/>
      <c r="M44" s="71"/>
      <c r="N44" s="71"/>
      <c r="O44" s="71"/>
      <c r="P44" s="71"/>
      <c r="Q44" s="71"/>
      <c r="R44" s="71"/>
      <c r="S44" s="71"/>
      <c r="T44" s="71"/>
      <c r="U44" s="71"/>
      <c r="V44" s="71"/>
      <c r="W44" s="215">
        <f>V20+V29+T40</f>
        <v>0</v>
      </c>
      <c r="X44" s="215"/>
      <c r="Y44" s="215"/>
      <c r="Z44" s="216" t="s">
        <v>126</v>
      </c>
      <c r="AA44" s="217"/>
    </row>
    <row r="45" spans="2:41" s="2" customFormat="1" ht="21.95" customHeight="1">
      <c r="B45" s="224"/>
      <c r="C45" s="225"/>
      <c r="D45" s="154" t="s">
        <v>48</v>
      </c>
      <c r="E45" s="155"/>
      <c r="F45" s="155"/>
      <c r="G45" s="155"/>
      <c r="H45" s="155"/>
      <c r="I45" s="155"/>
      <c r="J45" s="156"/>
      <c r="K45" s="71"/>
      <c r="L45" s="71"/>
      <c r="M45" s="71"/>
      <c r="N45" s="71"/>
      <c r="O45" s="71"/>
      <c r="P45" s="71"/>
      <c r="Q45" s="71"/>
      <c r="R45" s="71"/>
      <c r="S45" s="71"/>
      <c r="T45" s="71"/>
      <c r="U45" s="71"/>
      <c r="V45" s="71"/>
      <c r="W45" s="215">
        <f>IF(共通条件・結果!AA7="８地域","-",$X$20+$X$29+$V$40)</f>
        <v>0</v>
      </c>
      <c r="X45" s="215"/>
      <c r="Y45" s="215"/>
      <c r="Z45" s="216" t="s">
        <v>126</v>
      </c>
      <c r="AA45" s="217"/>
    </row>
    <row r="46" spans="2:41" s="2" customFormat="1" ht="21.95" customHeight="1" thickBot="1">
      <c r="B46" s="226"/>
      <c r="C46" s="227"/>
      <c r="D46" s="142" t="s">
        <v>18</v>
      </c>
      <c r="E46" s="143"/>
      <c r="F46" s="143"/>
      <c r="G46" s="143"/>
      <c r="H46" s="143"/>
      <c r="I46" s="143"/>
      <c r="J46" s="144"/>
      <c r="K46" s="69"/>
      <c r="L46" s="69"/>
      <c r="M46" s="69"/>
      <c r="N46" s="69"/>
      <c r="O46" s="69"/>
      <c r="P46" s="69"/>
      <c r="Q46" s="69"/>
      <c r="R46" s="69"/>
      <c r="S46" s="69"/>
      <c r="T46" s="69"/>
      <c r="U46" s="69"/>
      <c r="V46" s="69"/>
      <c r="W46" s="255">
        <f>Z20+Z29+X40</f>
        <v>0</v>
      </c>
      <c r="X46" s="255"/>
      <c r="Y46" s="255"/>
      <c r="Z46" s="70" t="s">
        <v>19</v>
      </c>
      <c r="AA46" s="77"/>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aDF33zRjPYBwvlcCXWXw2S1dRoc7H2UxofutQrhMHf+WINLL1QaWQ6YV04tsDWk6kGBuwD1u5y9DS8zewNosKg==" saltValue="aWHra3LQwtnqCSoINW59E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Y43:Z43">
    <cfRule type="expression" dxfId="116" priority="23" stopIfTrue="1">
      <formula>$Y$43=0</formula>
    </cfRule>
  </conditionalFormatting>
  <conditionalFormatting sqref="Q43:R43">
    <cfRule type="expression" dxfId="115" priority="22" stopIfTrue="1">
      <formula>$Q$43=0</formula>
    </cfRule>
  </conditionalFormatting>
  <conditionalFormatting sqref="U43:V43">
    <cfRule type="expression" dxfId="114" priority="21" stopIfTrue="1">
      <formula>$U$43=0</formula>
    </cfRule>
  </conditionalFormatting>
  <conditionalFormatting sqref="L43:N43">
    <cfRule type="expression" dxfId="113" priority="20" stopIfTrue="1">
      <formula>$L$43=0</formula>
    </cfRule>
  </conditionalFormatting>
  <conditionalFormatting sqref="X8:Y8">
    <cfRule type="expression" dxfId="112" priority="18" stopIfTrue="1">
      <formula>#VALUE!</formula>
    </cfRule>
    <cfRule type="expression" dxfId="111" priority="19" stopIfTrue="1">
      <formula>#VALUE!</formula>
    </cfRule>
  </conditionalFormatting>
  <conditionalFormatting sqref="X19:Y19">
    <cfRule type="expression" dxfId="110" priority="17" stopIfTrue="1">
      <formula>#VALUE!</formula>
    </cfRule>
  </conditionalFormatting>
  <conditionalFormatting sqref="X8:Y8">
    <cfRule type="expression" dxfId="109" priority="15" stopIfTrue="1">
      <formula>#VALUE!</formula>
    </cfRule>
    <cfRule type="expression" dxfId="108" priority="16" stopIfTrue="1">
      <formula>#VALUE!</formula>
    </cfRule>
  </conditionalFormatting>
  <conditionalFormatting sqref="X19:Y19">
    <cfRule type="expression" dxfId="107" priority="14" stopIfTrue="1">
      <formula>#VALUE!</formula>
    </cfRule>
  </conditionalFormatting>
  <conditionalFormatting sqref="P8:U8">
    <cfRule type="expression" dxfId="106" priority="13" stopIfTrue="1">
      <formula>$AG$8=TRUE</formula>
    </cfRule>
  </conditionalFormatting>
  <conditionalFormatting sqref="P15:U15">
    <cfRule type="expression" dxfId="105" priority="12" stopIfTrue="1">
      <formula>$AG$15=TRUE</formula>
    </cfRule>
  </conditionalFormatting>
  <conditionalFormatting sqref="P16:U16">
    <cfRule type="expression" dxfId="104" priority="11" stopIfTrue="1">
      <formula>$AG$16=TRUE</formula>
    </cfRule>
  </conditionalFormatting>
  <conditionalFormatting sqref="P17:U17">
    <cfRule type="expression" dxfId="103" priority="10" stopIfTrue="1">
      <formula>$AG$17=TRUE</formula>
    </cfRule>
  </conditionalFormatting>
  <conditionalFormatting sqref="P18:U18">
    <cfRule type="expression" dxfId="102" priority="9" stopIfTrue="1">
      <formula>$AG$18=TRUE</formula>
    </cfRule>
  </conditionalFormatting>
  <conditionalFormatting sqref="P19:U19">
    <cfRule type="expression" dxfId="101" priority="8" stopIfTrue="1">
      <formula>$AG$19=TRUE</formula>
    </cfRule>
  </conditionalFormatting>
  <conditionalFormatting sqref="P10:U10">
    <cfRule type="expression" dxfId="100" priority="7" stopIfTrue="1">
      <formula>$AG$10=TRUE</formula>
    </cfRule>
  </conditionalFormatting>
  <conditionalFormatting sqref="P11:U11">
    <cfRule type="expression" dxfId="99" priority="6" stopIfTrue="1">
      <formula>$AG$11=TRUE</formula>
    </cfRule>
  </conditionalFormatting>
  <conditionalFormatting sqref="P14:U14">
    <cfRule type="expression" dxfId="98" priority="5" stopIfTrue="1">
      <formula>$AG$14=TRUE</formula>
    </cfRule>
  </conditionalFormatting>
  <conditionalFormatting sqref="P9:U9">
    <cfRule type="expression" dxfId="97" priority="4" stopIfTrue="1">
      <formula>$AG$9=TRUE</formula>
    </cfRule>
  </conditionalFormatting>
  <conditionalFormatting sqref="P12:U12">
    <cfRule type="expression" dxfId="96" priority="3">
      <formula>$AG$12=TRUE</formula>
    </cfRule>
  </conditionalFormatting>
  <conditionalFormatting sqref="P13:U13">
    <cfRule type="expression" dxfId="95" priority="2">
      <formula>$AG$13=TRUE</formula>
    </cfRule>
  </conditionalFormatting>
  <dataValidations count="1">
    <dataValidation type="list" allowBlank="1" showInputMessage="1" showErrorMessage="1" sqref="M14:M19 L8:L19 M8:M11 T26:T28 U26 U28" xr:uid="{6ACCA521-5430-4755-A596-6E417CAE5D3D}">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785B-5B4D-49F3-A585-027A274901A0}">
  <sheetPr codeName="Sheet7"/>
  <dimension ref="B1:AO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9" width="3.875" customWidth="1"/>
    <col min="30" max="31" width="10.625" hidden="1" customWidth="1"/>
    <col min="32" max="32" width="2.625" hidden="1" customWidth="1"/>
    <col min="33" max="35" width="10.625" hidden="1" customWidth="1"/>
    <col min="36" max="36" width="2.625" hidden="1" customWidth="1"/>
    <col min="37" max="38" width="15.625" hidden="1" customWidth="1"/>
    <col min="39" max="39" width="2.625" hidden="1" customWidth="1"/>
    <col min="40" max="41" width="10.625" hidden="1" customWidth="1"/>
    <col min="42" max="43" width="3.625" customWidth="1"/>
    <col min="44" max="45" width="4.625" customWidth="1"/>
  </cols>
  <sheetData>
    <row r="1" spans="2:41" ht="3.95" customHeight="1"/>
    <row r="2" spans="2:41" s="1" customFormat="1" ht="30" customHeight="1">
      <c r="B2" s="379" t="s">
        <v>214</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row>
    <row r="3" spans="2:41" s="2" customFormat="1" ht="24.95" customHeight="1" thickBot="1"/>
    <row r="4" spans="2:41" s="2" customFormat="1" ht="21.95" customHeight="1" thickBot="1">
      <c r="B4" s="4" t="s">
        <v>5</v>
      </c>
      <c r="R4" s="380" t="s">
        <v>33</v>
      </c>
      <c r="S4" s="381"/>
      <c r="T4" s="381"/>
      <c r="U4" s="382"/>
      <c r="V4" s="383"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W4" s="384"/>
      <c r="X4" s="383"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Y4" s="384"/>
    </row>
    <row r="5" spans="2:41" s="2" customFormat="1" ht="21.95" customHeight="1">
      <c r="B5" s="385" t="s">
        <v>6</v>
      </c>
      <c r="C5" s="285"/>
      <c r="D5" s="285" t="s">
        <v>153</v>
      </c>
      <c r="E5" s="285"/>
      <c r="F5" s="285"/>
      <c r="G5" s="285"/>
      <c r="H5" s="284" t="s">
        <v>154</v>
      </c>
      <c r="I5" s="285"/>
      <c r="J5" s="284" t="s">
        <v>65</v>
      </c>
      <c r="K5" s="285"/>
      <c r="L5" s="284" t="s">
        <v>9</v>
      </c>
      <c r="M5" s="285"/>
      <c r="N5" s="388" t="s">
        <v>46</v>
      </c>
      <c r="O5" s="232"/>
      <c r="P5" s="232"/>
      <c r="Q5" s="232"/>
      <c r="R5" s="232"/>
      <c r="S5" s="232"/>
      <c r="T5" s="232"/>
      <c r="U5" s="232"/>
      <c r="V5" s="284" t="s">
        <v>155</v>
      </c>
      <c r="W5" s="285"/>
      <c r="X5" s="284" t="s">
        <v>156</v>
      </c>
      <c r="Y5" s="285"/>
      <c r="Z5" s="284" t="s">
        <v>123</v>
      </c>
      <c r="AA5" s="291"/>
    </row>
    <row r="6" spans="2:41" s="2" customFormat="1" ht="21.95" customHeight="1">
      <c r="B6" s="386"/>
      <c r="C6" s="286"/>
      <c r="D6" s="367" t="s">
        <v>8</v>
      </c>
      <c r="E6" s="368"/>
      <c r="F6" s="371" t="s">
        <v>7</v>
      </c>
      <c r="G6" s="372"/>
      <c r="H6" s="286"/>
      <c r="I6" s="286"/>
      <c r="J6" s="288"/>
      <c r="K6" s="286"/>
      <c r="L6" s="288"/>
      <c r="M6" s="286"/>
      <c r="N6" s="373" t="s">
        <v>45</v>
      </c>
      <c r="O6" s="374"/>
      <c r="P6" s="376" t="s">
        <v>157</v>
      </c>
      <c r="Q6" s="377"/>
      <c r="R6" s="377"/>
      <c r="S6" s="377"/>
      <c r="T6" s="377"/>
      <c r="U6" s="378"/>
      <c r="V6" s="288"/>
      <c r="W6" s="286"/>
      <c r="X6" s="288"/>
      <c r="Y6" s="286"/>
      <c r="Z6" s="286"/>
      <c r="AA6" s="292"/>
      <c r="AD6" s="307" t="s">
        <v>49</v>
      </c>
      <c r="AE6" s="307"/>
      <c r="AF6" s="40"/>
      <c r="AG6" s="40"/>
      <c r="AH6" s="307" t="s">
        <v>12</v>
      </c>
      <c r="AI6" s="307"/>
      <c r="AJ6" s="40"/>
      <c r="AK6" s="307" t="s">
        <v>50</v>
      </c>
      <c r="AL6" s="307"/>
      <c r="AN6" s="307" t="s">
        <v>58</v>
      </c>
      <c r="AO6" s="307"/>
    </row>
    <row r="7" spans="2:41" s="2" customFormat="1" ht="21.95" customHeight="1" thickBot="1">
      <c r="B7" s="387"/>
      <c r="C7" s="287"/>
      <c r="D7" s="369"/>
      <c r="E7" s="370"/>
      <c r="F7" s="317"/>
      <c r="G7" s="271"/>
      <c r="H7" s="287"/>
      <c r="I7" s="287"/>
      <c r="J7" s="287"/>
      <c r="K7" s="287"/>
      <c r="L7" s="287"/>
      <c r="M7" s="287"/>
      <c r="N7" s="276"/>
      <c r="O7" s="375"/>
      <c r="P7" s="271" t="s">
        <v>10</v>
      </c>
      <c r="Q7" s="320"/>
      <c r="R7" s="364" t="s">
        <v>11</v>
      </c>
      <c r="S7" s="365"/>
      <c r="T7" s="271" t="s">
        <v>3</v>
      </c>
      <c r="U7" s="320"/>
      <c r="V7" s="287"/>
      <c r="W7" s="287"/>
      <c r="X7" s="287"/>
      <c r="Y7" s="287"/>
      <c r="Z7" s="287"/>
      <c r="AA7" s="293"/>
      <c r="AD7" s="40" t="s">
        <v>4</v>
      </c>
      <c r="AE7" s="40" t="s">
        <v>16</v>
      </c>
      <c r="AF7" s="40"/>
      <c r="AG7" s="40"/>
      <c r="AH7" s="40" t="s">
        <v>4</v>
      </c>
      <c r="AI7" s="40" t="s">
        <v>16</v>
      </c>
      <c r="AJ7" s="40"/>
      <c r="AK7" s="40" t="s">
        <v>4</v>
      </c>
      <c r="AL7" s="40" t="s">
        <v>16</v>
      </c>
      <c r="AN7" s="72" t="s">
        <v>56</v>
      </c>
      <c r="AO7" s="2" t="s">
        <v>54</v>
      </c>
    </row>
    <row r="8" spans="2:41" s="2" customFormat="1" ht="21.95" customHeight="1">
      <c r="B8" s="257"/>
      <c r="C8" s="363"/>
      <c r="D8" s="311"/>
      <c r="E8" s="312"/>
      <c r="F8" s="312"/>
      <c r="G8" s="313"/>
      <c r="H8" s="263"/>
      <c r="I8" s="263"/>
      <c r="J8" s="263"/>
      <c r="K8" s="263"/>
      <c r="L8" s="335"/>
      <c r="M8" s="335"/>
      <c r="N8" s="355"/>
      <c r="O8" s="356"/>
      <c r="P8" s="357"/>
      <c r="Q8" s="358"/>
      <c r="R8" s="359"/>
      <c r="S8" s="360"/>
      <c r="T8" s="361"/>
      <c r="U8" s="357"/>
      <c r="V8" s="362" t="str">
        <f>IF(D8="","",AD8)</f>
        <v/>
      </c>
      <c r="W8" s="362"/>
      <c r="X8" s="362" t="str">
        <f t="shared" ref="X8:X19" si="0">IF(D8="","",IF(ISERROR(AE8),"-",AE8))</f>
        <v/>
      </c>
      <c r="Y8" s="362"/>
      <c r="Z8" s="362" t="str">
        <f>IF(D8="","",D8*F8*AN8)</f>
        <v/>
      </c>
      <c r="AA8" s="389"/>
      <c r="AD8" s="2" t="e">
        <f>D8*F8*J8*$V$4*AH8</f>
        <v>#VALUE!</v>
      </c>
      <c r="AE8" s="2" t="e">
        <f>D8*F8*J8*$X$4*AI8</f>
        <v>#VALUE!</v>
      </c>
      <c r="AG8" s="49" t="b">
        <v>0</v>
      </c>
      <c r="AH8" s="2" t="str">
        <f>IF(AG8=TRUE,"0.93",IF(ISERROR(AK8),"エラー",IF(AK8&gt;0.93,"0.93",AK8)))</f>
        <v>エラー</v>
      </c>
      <c r="AI8" s="2" t="str">
        <f>IF(AG8=TRUE,"0.51",IF(ISERROR(AL8),"エラー",IF(AL8&gt;0.72,"0.72",AL8)))</f>
        <v>エラー</v>
      </c>
      <c r="AK8" s="2" t="e">
        <f>IF(共通条件・結果!$AA$7="８地域",0.01*(16+19*(2*R8+T8)/P8),0.01*(24+9*(3*R8+T8)/P8))</f>
        <v>#DIV/0!</v>
      </c>
      <c r="AL8" s="2" t="e">
        <f>0.01*(5+20*(3*R8+T8)/P8)</f>
        <v>#DIV/0!</v>
      </c>
      <c r="AN8" s="2">
        <f>IF(AO8="FALSE",H8,IF(L8="風除室",1/((1/H8)+0.1),0.5*H8+0.5*(1/((1/H8)+AO8))))</f>
        <v>0</v>
      </c>
      <c r="AO8" s="40" t="str">
        <f t="shared" ref="AO8:AO19" si="1">IF(L8="","FALSE",IF(L8="雨戸",0.1,IF(L8="ｼｬｯﾀｰ",0.1,IF(L8="障子",0.18,IF(L8="風除室",0.1)))))</f>
        <v>FALSE</v>
      </c>
    </row>
    <row r="9" spans="2:41" s="2" customFormat="1" ht="21.95" customHeight="1">
      <c r="B9" s="248"/>
      <c r="C9" s="349"/>
      <c r="D9" s="350"/>
      <c r="E9" s="351"/>
      <c r="F9" s="351"/>
      <c r="G9" s="352"/>
      <c r="H9" s="254"/>
      <c r="I9" s="254"/>
      <c r="J9" s="254"/>
      <c r="K9" s="254"/>
      <c r="L9" s="301"/>
      <c r="M9" s="301"/>
      <c r="N9" s="341"/>
      <c r="O9" s="342"/>
      <c r="P9" s="343"/>
      <c r="Q9" s="344"/>
      <c r="R9" s="345"/>
      <c r="S9" s="346"/>
      <c r="T9" s="347"/>
      <c r="U9" s="343"/>
      <c r="V9" s="235" t="str">
        <f t="shared" ref="V9:V19" si="2">IF(D9="","",AD9)</f>
        <v/>
      </c>
      <c r="W9" s="235"/>
      <c r="X9" s="235" t="str">
        <f t="shared" si="0"/>
        <v/>
      </c>
      <c r="Y9" s="235"/>
      <c r="Z9" s="235" t="str">
        <f t="shared" ref="Z9:Z19" si="3">IF(D9="","",D9*F9*AN9)</f>
        <v/>
      </c>
      <c r="AA9" s="236"/>
      <c r="AD9" s="2" t="e">
        <f t="shared" ref="AD9:AD19" si="4">D9*F9*J9*$V$4*AH9</f>
        <v>#VALUE!</v>
      </c>
      <c r="AE9" s="2" t="e">
        <f t="shared" ref="AE9:AE19" si="5">D9*F9*J9*$X$4*AI9</f>
        <v>#VALUE!</v>
      </c>
      <c r="AG9" s="49"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IF(共通条件・結果!$AA$7="８地域",0.01*(16+19*(2*R9+T9)/P9),0.01*(24+9*(3*R9+T9)/P9))</f>
        <v>#DIV/0!</v>
      </c>
      <c r="AL9" s="2" t="e">
        <f t="shared" ref="AL9:AL19" si="8">0.01*(5+20*(3*R9+T9)/P9)</f>
        <v>#DIV/0!</v>
      </c>
      <c r="AN9" s="2">
        <f t="shared" ref="AN9:AN19" si="9">IF(AO9="FALSE",H9,IF(L9="風除室",1/((1/H9)+0.1),0.5*H9+0.5*(1/((1/H9)+AO9))))</f>
        <v>0</v>
      </c>
      <c r="AO9" s="40" t="str">
        <f t="shared" si="1"/>
        <v>FALSE</v>
      </c>
    </row>
    <row r="10" spans="2:41" s="2" customFormat="1" ht="21.95" customHeight="1">
      <c r="B10" s="248"/>
      <c r="C10" s="349"/>
      <c r="D10" s="350"/>
      <c r="E10" s="351"/>
      <c r="F10" s="351"/>
      <c r="G10" s="352"/>
      <c r="H10" s="254"/>
      <c r="I10" s="254"/>
      <c r="J10" s="254"/>
      <c r="K10" s="254"/>
      <c r="L10" s="301"/>
      <c r="M10" s="301"/>
      <c r="N10" s="341"/>
      <c r="O10" s="342"/>
      <c r="P10" s="344"/>
      <c r="Q10" s="353"/>
      <c r="R10" s="348"/>
      <c r="S10" s="353"/>
      <c r="T10" s="348"/>
      <c r="U10" s="347"/>
      <c r="V10" s="235" t="str">
        <f t="shared" si="2"/>
        <v/>
      </c>
      <c r="W10" s="235"/>
      <c r="X10" s="235" t="str">
        <f t="shared" si="0"/>
        <v/>
      </c>
      <c r="Y10" s="235"/>
      <c r="Z10" s="235" t="str">
        <f t="shared" si="3"/>
        <v/>
      </c>
      <c r="AA10" s="236"/>
      <c r="AD10" s="2" t="e">
        <f t="shared" si="4"/>
        <v>#VALUE!</v>
      </c>
      <c r="AE10" s="2" t="e">
        <f t="shared" si="5"/>
        <v>#VALUE!</v>
      </c>
      <c r="AG10" s="49" t="b">
        <v>0</v>
      </c>
      <c r="AH10" s="2" t="str">
        <f t="shared" si="6"/>
        <v>エラー</v>
      </c>
      <c r="AI10" s="2" t="str">
        <f t="shared" si="7"/>
        <v>エラー</v>
      </c>
      <c r="AK10" s="2" t="e">
        <f>IF(共通条件・結果!$AA$7="８地域",0.01*(16+19*(2*R10+T10)/P10),0.01*(24+9*(3*R10+T10)/P10))</f>
        <v>#DIV/0!</v>
      </c>
      <c r="AL10" s="2" t="e">
        <f t="shared" si="8"/>
        <v>#DIV/0!</v>
      </c>
      <c r="AN10" s="2">
        <f>IF(AO10="FALSE",H10,IF(L10="風除室",1/((1/H10)+0.1),0.5*H10+0.5*(1/((1/H10)+AO10))))</f>
        <v>0</v>
      </c>
      <c r="AO10" s="40" t="str">
        <f t="shared" si="1"/>
        <v>FALSE</v>
      </c>
    </row>
    <row r="11" spans="2:41" s="2" customFormat="1" ht="21.95" customHeight="1">
      <c r="B11" s="248"/>
      <c r="C11" s="349"/>
      <c r="D11" s="350"/>
      <c r="E11" s="351"/>
      <c r="F11" s="351"/>
      <c r="G11" s="352"/>
      <c r="H11" s="254"/>
      <c r="I11" s="254"/>
      <c r="J11" s="254"/>
      <c r="K11" s="254"/>
      <c r="L11" s="301"/>
      <c r="M11" s="301"/>
      <c r="N11" s="341"/>
      <c r="O11" s="342"/>
      <c r="P11" s="344"/>
      <c r="Q11" s="353"/>
      <c r="R11" s="348"/>
      <c r="S11" s="353"/>
      <c r="T11" s="348"/>
      <c r="U11" s="347"/>
      <c r="V11" s="235" t="str">
        <f t="shared" si="2"/>
        <v/>
      </c>
      <c r="W11" s="235"/>
      <c r="X11" s="235" t="str">
        <f t="shared" si="0"/>
        <v/>
      </c>
      <c r="Y11" s="235"/>
      <c r="Z11" s="235" t="str">
        <f t="shared" si="3"/>
        <v/>
      </c>
      <c r="AA11" s="236"/>
      <c r="AD11" s="2" t="e">
        <f t="shared" si="4"/>
        <v>#VALUE!</v>
      </c>
      <c r="AE11" s="2" t="e">
        <f t="shared" si="5"/>
        <v>#VALUE!</v>
      </c>
      <c r="AG11" s="49" t="b">
        <v>0</v>
      </c>
      <c r="AH11" s="2" t="str">
        <f t="shared" si="6"/>
        <v>エラー</v>
      </c>
      <c r="AI11" s="2" t="str">
        <f t="shared" si="7"/>
        <v>エラー</v>
      </c>
      <c r="AK11" s="2" t="e">
        <f>IF(共通条件・結果!$AA$7="８地域",0.01*(16+19*(2*R11+T11)/P11),0.01*(24+9*(3*R11+T11)/P11))</f>
        <v>#DIV/0!</v>
      </c>
      <c r="AL11" s="2" t="e">
        <f t="shared" si="8"/>
        <v>#DIV/0!</v>
      </c>
      <c r="AN11" s="2">
        <f t="shared" si="9"/>
        <v>0</v>
      </c>
      <c r="AO11" s="40" t="str">
        <f t="shared" si="1"/>
        <v>FALSE</v>
      </c>
    </row>
    <row r="12" spans="2:41" s="2" customFormat="1" ht="21.95" customHeight="1">
      <c r="B12" s="248"/>
      <c r="C12" s="249"/>
      <c r="D12" s="250"/>
      <c r="E12" s="305"/>
      <c r="F12" s="306"/>
      <c r="G12" s="251"/>
      <c r="H12" s="250"/>
      <c r="I12" s="251"/>
      <c r="J12" s="250"/>
      <c r="K12" s="251"/>
      <c r="L12" s="315"/>
      <c r="M12" s="316"/>
      <c r="N12" s="341"/>
      <c r="O12" s="354"/>
      <c r="P12" s="344"/>
      <c r="Q12" s="353"/>
      <c r="R12" s="348"/>
      <c r="S12" s="353"/>
      <c r="T12" s="348"/>
      <c r="U12" s="347"/>
      <c r="V12" s="233" t="str">
        <f t="shared" si="2"/>
        <v/>
      </c>
      <c r="W12" s="234"/>
      <c r="X12" s="233" t="str">
        <f t="shared" si="0"/>
        <v/>
      </c>
      <c r="Y12" s="234"/>
      <c r="Z12" s="233" t="str">
        <f t="shared" si="3"/>
        <v/>
      </c>
      <c r="AA12" s="256"/>
      <c r="AD12" s="2" t="e">
        <f t="shared" si="4"/>
        <v>#VALUE!</v>
      </c>
      <c r="AE12" s="2" t="e">
        <f t="shared" si="5"/>
        <v>#VALUE!</v>
      </c>
      <c r="AG12" s="49" t="b">
        <v>0</v>
      </c>
      <c r="AH12" s="2" t="str">
        <f t="shared" si="6"/>
        <v>エラー</v>
      </c>
      <c r="AI12" s="2" t="str">
        <f t="shared" si="7"/>
        <v>エラー</v>
      </c>
      <c r="AK12" s="2" t="e">
        <f>IF(共通条件・結果!$AA$7="８地域",0.01*(16+19*(2*R12+T12)/P12),0.01*(24+9*(3*R12+T12)/P12))</f>
        <v>#DIV/0!</v>
      </c>
      <c r="AL12" s="2" t="e">
        <f t="shared" si="8"/>
        <v>#DIV/0!</v>
      </c>
      <c r="AN12" s="2">
        <f t="shared" si="9"/>
        <v>0</v>
      </c>
      <c r="AO12" s="40" t="str">
        <f t="shared" si="1"/>
        <v>FALSE</v>
      </c>
    </row>
    <row r="13" spans="2:41" s="2" customFormat="1" ht="21.95" customHeight="1">
      <c r="B13" s="248"/>
      <c r="C13" s="249"/>
      <c r="D13" s="250"/>
      <c r="E13" s="305"/>
      <c r="F13" s="306"/>
      <c r="G13" s="251"/>
      <c r="H13" s="250"/>
      <c r="I13" s="251"/>
      <c r="J13" s="250"/>
      <c r="K13" s="251"/>
      <c r="L13" s="315"/>
      <c r="M13" s="316"/>
      <c r="N13" s="341"/>
      <c r="O13" s="354"/>
      <c r="P13" s="344"/>
      <c r="Q13" s="353"/>
      <c r="R13" s="348"/>
      <c r="S13" s="353"/>
      <c r="T13" s="348"/>
      <c r="U13" s="347"/>
      <c r="V13" s="233" t="str">
        <f t="shared" si="2"/>
        <v/>
      </c>
      <c r="W13" s="234"/>
      <c r="X13" s="233" t="str">
        <f t="shared" si="0"/>
        <v/>
      </c>
      <c r="Y13" s="234"/>
      <c r="Z13" s="233" t="str">
        <f t="shared" si="3"/>
        <v/>
      </c>
      <c r="AA13" s="256"/>
      <c r="AD13" s="2" t="e">
        <f t="shared" si="4"/>
        <v>#VALUE!</v>
      </c>
      <c r="AE13" s="2" t="e">
        <f t="shared" si="5"/>
        <v>#VALUE!</v>
      </c>
      <c r="AG13" s="49" t="b">
        <v>0</v>
      </c>
      <c r="AH13" s="2" t="str">
        <f t="shared" si="6"/>
        <v>エラー</v>
      </c>
      <c r="AI13" s="2" t="str">
        <f t="shared" si="7"/>
        <v>エラー</v>
      </c>
      <c r="AK13" s="2" t="e">
        <f>IF(共通条件・結果!$AA$7="８地域",0.01*(16+19*(2*R13+T13)/P13),0.01*(24+9*(3*R13+T13)/P13))</f>
        <v>#DIV/0!</v>
      </c>
      <c r="AL13" s="2" t="e">
        <f t="shared" si="8"/>
        <v>#DIV/0!</v>
      </c>
      <c r="AN13" s="2">
        <f t="shared" si="9"/>
        <v>0</v>
      </c>
      <c r="AO13" s="40" t="str">
        <f t="shared" si="1"/>
        <v>FALSE</v>
      </c>
    </row>
    <row r="14" spans="2:41" s="2" customFormat="1" ht="21.95" customHeight="1">
      <c r="B14" s="248"/>
      <c r="C14" s="349"/>
      <c r="D14" s="350"/>
      <c r="E14" s="351"/>
      <c r="F14" s="351"/>
      <c r="G14" s="352"/>
      <c r="H14" s="254"/>
      <c r="I14" s="254"/>
      <c r="J14" s="254"/>
      <c r="K14" s="254"/>
      <c r="L14" s="301"/>
      <c r="M14" s="301"/>
      <c r="N14" s="341"/>
      <c r="O14" s="342"/>
      <c r="P14" s="344"/>
      <c r="Q14" s="353"/>
      <c r="R14" s="348"/>
      <c r="S14" s="353"/>
      <c r="T14" s="348"/>
      <c r="U14" s="347"/>
      <c r="V14" s="235" t="str">
        <f t="shared" si="2"/>
        <v/>
      </c>
      <c r="W14" s="235"/>
      <c r="X14" s="235" t="str">
        <f t="shared" si="0"/>
        <v/>
      </c>
      <c r="Y14" s="235"/>
      <c r="Z14" s="235" t="str">
        <f t="shared" si="3"/>
        <v/>
      </c>
      <c r="AA14" s="236"/>
      <c r="AD14" s="2" t="e">
        <f t="shared" si="4"/>
        <v>#VALUE!</v>
      </c>
      <c r="AE14" s="2" t="e">
        <f t="shared" si="5"/>
        <v>#VALUE!</v>
      </c>
      <c r="AG14" s="49" t="b">
        <v>0</v>
      </c>
      <c r="AH14" s="2" t="str">
        <f t="shared" si="6"/>
        <v>エラー</v>
      </c>
      <c r="AI14" s="2" t="str">
        <f t="shared" si="7"/>
        <v>エラー</v>
      </c>
      <c r="AK14" s="2" t="e">
        <f>IF(共通条件・結果!$AA$7="８地域",0.01*(16+19*(2*R14+T14)/P14),0.01*(24+9*(3*R14+T14)/P14))</f>
        <v>#DIV/0!</v>
      </c>
      <c r="AL14" s="2" t="e">
        <f t="shared" si="8"/>
        <v>#DIV/0!</v>
      </c>
      <c r="AN14" s="2">
        <f t="shared" si="9"/>
        <v>0</v>
      </c>
      <c r="AO14" s="40" t="str">
        <f t="shared" si="1"/>
        <v>FALSE</v>
      </c>
    </row>
    <row r="15" spans="2:41" s="2" customFormat="1" ht="21.95" customHeight="1">
      <c r="B15" s="248"/>
      <c r="C15" s="349"/>
      <c r="D15" s="350"/>
      <c r="E15" s="351"/>
      <c r="F15" s="351"/>
      <c r="G15" s="352"/>
      <c r="H15" s="254"/>
      <c r="I15" s="254"/>
      <c r="J15" s="254"/>
      <c r="K15" s="254"/>
      <c r="L15" s="301"/>
      <c r="M15" s="301"/>
      <c r="N15" s="341"/>
      <c r="O15" s="342"/>
      <c r="P15" s="344"/>
      <c r="Q15" s="353"/>
      <c r="R15" s="348"/>
      <c r="S15" s="353"/>
      <c r="T15" s="348"/>
      <c r="U15" s="347"/>
      <c r="V15" s="233" t="str">
        <f t="shared" si="2"/>
        <v/>
      </c>
      <c r="W15" s="234"/>
      <c r="X15" s="235" t="str">
        <f t="shared" si="0"/>
        <v/>
      </c>
      <c r="Y15" s="235"/>
      <c r="Z15" s="235" t="str">
        <f t="shared" si="3"/>
        <v/>
      </c>
      <c r="AA15" s="236"/>
      <c r="AD15" s="2" t="e">
        <f t="shared" si="4"/>
        <v>#VALUE!</v>
      </c>
      <c r="AE15" s="2" t="e">
        <f t="shared" si="5"/>
        <v>#VALUE!</v>
      </c>
      <c r="AG15" s="49" t="b">
        <v>0</v>
      </c>
      <c r="AH15" s="2" t="str">
        <f t="shared" si="6"/>
        <v>エラー</v>
      </c>
      <c r="AI15" s="2" t="str">
        <f t="shared" si="7"/>
        <v>エラー</v>
      </c>
      <c r="AK15" s="2" t="e">
        <f>IF(共通条件・結果!$AA$7="８地域",0.01*(16+19*(2*R15+T15)/P15),0.01*(24+9*(3*R15+T15)/P15))</f>
        <v>#DIV/0!</v>
      </c>
      <c r="AL15" s="2" t="e">
        <f t="shared" si="8"/>
        <v>#DIV/0!</v>
      </c>
      <c r="AN15" s="2">
        <f t="shared" si="9"/>
        <v>0</v>
      </c>
      <c r="AO15" s="40" t="str">
        <f t="shared" si="1"/>
        <v>FALSE</v>
      </c>
    </row>
    <row r="16" spans="2:41" s="2" customFormat="1" ht="21.95" customHeight="1">
      <c r="B16" s="248"/>
      <c r="C16" s="349"/>
      <c r="D16" s="350"/>
      <c r="E16" s="351"/>
      <c r="F16" s="351"/>
      <c r="G16" s="352"/>
      <c r="H16" s="254"/>
      <c r="I16" s="254"/>
      <c r="J16" s="254"/>
      <c r="K16" s="254"/>
      <c r="L16" s="301"/>
      <c r="M16" s="301"/>
      <c r="N16" s="341"/>
      <c r="O16" s="342"/>
      <c r="P16" s="344"/>
      <c r="Q16" s="353"/>
      <c r="R16" s="348"/>
      <c r="S16" s="353"/>
      <c r="T16" s="348"/>
      <c r="U16" s="347"/>
      <c r="V16" s="233" t="str">
        <f t="shared" si="2"/>
        <v/>
      </c>
      <c r="W16" s="234"/>
      <c r="X16" s="235" t="str">
        <f t="shared" si="0"/>
        <v/>
      </c>
      <c r="Y16" s="235"/>
      <c r="Z16" s="235" t="str">
        <f t="shared" si="3"/>
        <v/>
      </c>
      <c r="AA16" s="236"/>
      <c r="AD16" s="2" t="e">
        <f t="shared" si="4"/>
        <v>#VALUE!</v>
      </c>
      <c r="AE16" s="2" t="e">
        <f t="shared" si="5"/>
        <v>#VALUE!</v>
      </c>
      <c r="AG16" s="49" t="b">
        <v>0</v>
      </c>
      <c r="AH16" s="2" t="str">
        <f t="shared" si="6"/>
        <v>エラー</v>
      </c>
      <c r="AI16" s="2" t="str">
        <f t="shared" si="7"/>
        <v>エラー</v>
      </c>
      <c r="AK16" s="2" t="e">
        <f>IF(共通条件・結果!$AA$7="８地域",0.01*(16+19*(2*R16+T16)/P16),0.01*(24+9*(3*R16+T16)/P16))</f>
        <v>#DIV/0!</v>
      </c>
      <c r="AL16" s="2" t="e">
        <f t="shared" si="8"/>
        <v>#DIV/0!</v>
      </c>
      <c r="AN16" s="2">
        <f t="shared" si="9"/>
        <v>0</v>
      </c>
      <c r="AO16" s="40" t="str">
        <f t="shared" si="1"/>
        <v>FALSE</v>
      </c>
    </row>
    <row r="17" spans="2:41" s="2" customFormat="1" ht="21.95" customHeight="1">
      <c r="B17" s="248"/>
      <c r="C17" s="349"/>
      <c r="D17" s="350"/>
      <c r="E17" s="351"/>
      <c r="F17" s="351"/>
      <c r="G17" s="352"/>
      <c r="H17" s="254"/>
      <c r="I17" s="254"/>
      <c r="J17" s="254"/>
      <c r="K17" s="254"/>
      <c r="L17" s="301"/>
      <c r="M17" s="301"/>
      <c r="N17" s="341"/>
      <c r="O17" s="342"/>
      <c r="P17" s="343"/>
      <c r="Q17" s="344"/>
      <c r="R17" s="348"/>
      <c r="S17" s="353"/>
      <c r="T17" s="348"/>
      <c r="U17" s="347"/>
      <c r="V17" s="233" t="str">
        <f t="shared" si="2"/>
        <v/>
      </c>
      <c r="W17" s="234"/>
      <c r="X17" s="235" t="str">
        <f t="shared" si="0"/>
        <v/>
      </c>
      <c r="Y17" s="235"/>
      <c r="Z17" s="235" t="str">
        <f t="shared" si="3"/>
        <v/>
      </c>
      <c r="AA17" s="236"/>
      <c r="AD17" s="2" t="e">
        <f t="shared" si="4"/>
        <v>#VALUE!</v>
      </c>
      <c r="AE17" s="2" t="e">
        <f t="shared" si="5"/>
        <v>#VALUE!</v>
      </c>
      <c r="AG17" s="49" t="b">
        <v>0</v>
      </c>
      <c r="AH17" s="2" t="str">
        <f t="shared" si="6"/>
        <v>エラー</v>
      </c>
      <c r="AI17" s="2" t="str">
        <f t="shared" si="7"/>
        <v>エラー</v>
      </c>
      <c r="AK17" s="2" t="e">
        <f>IF(共通条件・結果!$AA$7="８地域",0.01*(16+19*(2*R17+T17)/P17),0.01*(24+9*(3*R17+T17)/P17))</f>
        <v>#DIV/0!</v>
      </c>
      <c r="AL17" s="2" t="e">
        <f t="shared" si="8"/>
        <v>#DIV/0!</v>
      </c>
      <c r="AN17" s="2">
        <f t="shared" si="9"/>
        <v>0</v>
      </c>
      <c r="AO17" s="40" t="str">
        <f t="shared" si="1"/>
        <v>FALSE</v>
      </c>
    </row>
    <row r="18" spans="2:41" s="2" customFormat="1" ht="21.95" customHeight="1">
      <c r="B18" s="248"/>
      <c r="C18" s="349"/>
      <c r="D18" s="350"/>
      <c r="E18" s="351"/>
      <c r="F18" s="351"/>
      <c r="G18" s="352"/>
      <c r="H18" s="254"/>
      <c r="I18" s="254"/>
      <c r="J18" s="254"/>
      <c r="K18" s="254"/>
      <c r="L18" s="301"/>
      <c r="M18" s="301"/>
      <c r="N18" s="341"/>
      <c r="O18" s="342"/>
      <c r="P18" s="343"/>
      <c r="Q18" s="344"/>
      <c r="R18" s="345"/>
      <c r="S18" s="346"/>
      <c r="T18" s="347"/>
      <c r="U18" s="343"/>
      <c r="V18" s="233" t="str">
        <f t="shared" si="2"/>
        <v/>
      </c>
      <c r="W18" s="234"/>
      <c r="X18" s="235" t="str">
        <f t="shared" si="0"/>
        <v/>
      </c>
      <c r="Y18" s="235"/>
      <c r="Z18" s="235" t="str">
        <f t="shared" si="3"/>
        <v/>
      </c>
      <c r="AA18" s="236"/>
      <c r="AD18" s="2" t="e">
        <f t="shared" si="4"/>
        <v>#VALUE!</v>
      </c>
      <c r="AE18" s="2" t="e">
        <f t="shared" si="5"/>
        <v>#VALUE!</v>
      </c>
      <c r="AG18" s="49" t="b">
        <v>0</v>
      </c>
      <c r="AH18" s="2" t="str">
        <f t="shared" si="6"/>
        <v>エラー</v>
      </c>
      <c r="AI18" s="2" t="str">
        <f t="shared" si="7"/>
        <v>エラー</v>
      </c>
      <c r="AK18" s="2" t="e">
        <f>IF(共通条件・結果!$AA$7="８地域",0.01*(16+19*(2*R18+T18)/P18),0.01*(24+9*(3*R18+T18)/P18))</f>
        <v>#DIV/0!</v>
      </c>
      <c r="AL18" s="2" t="e">
        <f t="shared" si="8"/>
        <v>#DIV/0!</v>
      </c>
      <c r="AN18" s="2">
        <f t="shared" si="9"/>
        <v>0</v>
      </c>
      <c r="AO18" s="40" t="str">
        <f t="shared" si="1"/>
        <v>FALSE</v>
      </c>
    </row>
    <row r="19" spans="2:41" s="2" customFormat="1" ht="21.95" customHeight="1" thickBot="1">
      <c r="B19" s="237"/>
      <c r="C19" s="334"/>
      <c r="D19" s="297"/>
      <c r="E19" s="298"/>
      <c r="F19" s="298"/>
      <c r="G19" s="299"/>
      <c r="H19" s="300"/>
      <c r="I19" s="300"/>
      <c r="J19" s="300"/>
      <c r="K19" s="300"/>
      <c r="L19" s="335"/>
      <c r="M19" s="335"/>
      <c r="N19" s="336"/>
      <c r="O19" s="337"/>
      <c r="P19" s="333"/>
      <c r="Q19" s="338"/>
      <c r="R19" s="339"/>
      <c r="S19" s="340"/>
      <c r="T19" s="332"/>
      <c r="U19" s="333"/>
      <c r="V19" s="233" t="str">
        <f t="shared" si="2"/>
        <v/>
      </c>
      <c r="W19" s="234"/>
      <c r="X19" s="235" t="str">
        <f t="shared" si="0"/>
        <v/>
      </c>
      <c r="Y19" s="235"/>
      <c r="Z19" s="244" t="str">
        <f t="shared" si="3"/>
        <v/>
      </c>
      <c r="AA19" s="247"/>
      <c r="AD19" s="2" t="e">
        <f t="shared" si="4"/>
        <v>#VALUE!</v>
      </c>
      <c r="AE19" s="2" t="e">
        <f t="shared" si="5"/>
        <v>#VALUE!</v>
      </c>
      <c r="AG19" s="49" t="b">
        <v>0</v>
      </c>
      <c r="AH19" s="2" t="str">
        <f t="shared" si="6"/>
        <v>エラー</v>
      </c>
      <c r="AI19" s="2" t="str">
        <f t="shared" si="7"/>
        <v>エラー</v>
      </c>
      <c r="AK19" s="2" t="e">
        <f>IF(共通条件・結果!$AA$7="８地域",0.01*(16+19*(2*R19+T19)/P19),0.01*(24+9*(3*R19+T19)/P19))</f>
        <v>#DIV/0!</v>
      </c>
      <c r="AL19" s="2" t="e">
        <f t="shared" si="8"/>
        <v>#DIV/0!</v>
      </c>
      <c r="AN19" s="2">
        <f t="shared" si="9"/>
        <v>0</v>
      </c>
      <c r="AO19" s="40" t="str">
        <f t="shared" si="1"/>
        <v>FALSE</v>
      </c>
    </row>
    <row r="20" spans="2:41" s="2" customFormat="1" ht="21.95" customHeight="1" thickBot="1">
      <c r="B20" s="218" t="s">
        <v>215</v>
      </c>
      <c r="C20" s="219"/>
      <c r="D20" s="219"/>
      <c r="E20" s="219"/>
      <c r="F20" s="219"/>
      <c r="G20" s="219"/>
      <c r="H20" s="219"/>
      <c r="I20" s="219"/>
      <c r="J20" s="219"/>
      <c r="K20" s="219"/>
      <c r="L20" s="219"/>
      <c r="M20" s="219"/>
      <c r="N20" s="219"/>
      <c r="O20" s="219"/>
      <c r="P20" s="219"/>
      <c r="Q20" s="219"/>
      <c r="R20" s="219"/>
      <c r="S20" s="219"/>
      <c r="T20" s="219"/>
      <c r="U20" s="219"/>
      <c r="V20" s="220">
        <f>SUM(V8:W19)</f>
        <v>0</v>
      </c>
      <c r="W20" s="220"/>
      <c r="X20" s="220">
        <f>IF(共通条件・結果!AA7="８地域","-",SUM(X8:Y19))</f>
        <v>0</v>
      </c>
      <c r="Y20" s="220"/>
      <c r="Z20" s="220">
        <f>SUM(Z8:AA19)</f>
        <v>0</v>
      </c>
      <c r="AA20" s="221"/>
    </row>
    <row r="21" spans="2:41" s="2" customFormat="1" ht="9.9499999999999993" customHeight="1">
      <c r="AN21" s="307"/>
      <c r="AO21" s="307"/>
    </row>
    <row r="22" spans="2:41" s="2" customFormat="1" ht="21.95" customHeight="1" thickBot="1">
      <c r="E22" s="4"/>
      <c r="J22" s="4" t="s">
        <v>13</v>
      </c>
    </row>
    <row r="23" spans="2:41" s="2" customFormat="1" ht="21.95" customHeight="1">
      <c r="J23" s="266" t="s">
        <v>14</v>
      </c>
      <c r="K23" s="183"/>
      <c r="L23" s="183"/>
      <c r="M23" s="267"/>
      <c r="N23" s="322" t="s">
        <v>153</v>
      </c>
      <c r="O23" s="183"/>
      <c r="P23" s="183"/>
      <c r="Q23" s="267"/>
      <c r="R23" s="284" t="s">
        <v>154</v>
      </c>
      <c r="S23" s="285"/>
      <c r="T23" s="324" t="s">
        <v>9</v>
      </c>
      <c r="U23" s="325"/>
      <c r="V23" s="272" t="s">
        <v>158</v>
      </c>
      <c r="W23" s="273"/>
      <c r="X23" s="272" t="s">
        <v>156</v>
      </c>
      <c r="Y23" s="273"/>
      <c r="Z23" s="272" t="s">
        <v>123</v>
      </c>
      <c r="AA23" s="184"/>
      <c r="AN23" s="307" t="s">
        <v>58</v>
      </c>
      <c r="AO23" s="307"/>
    </row>
    <row r="24" spans="2:41" s="2" customFormat="1" ht="21.95" customHeight="1">
      <c r="J24" s="268"/>
      <c r="K24" s="307"/>
      <c r="L24" s="307"/>
      <c r="M24" s="269"/>
      <c r="N24" s="195"/>
      <c r="O24" s="196"/>
      <c r="P24" s="196"/>
      <c r="Q24" s="323"/>
      <c r="R24" s="288"/>
      <c r="S24" s="286"/>
      <c r="T24" s="326"/>
      <c r="U24" s="327"/>
      <c r="V24" s="274"/>
      <c r="W24" s="275"/>
      <c r="X24" s="274"/>
      <c r="Y24" s="275"/>
      <c r="Z24" s="318"/>
      <c r="AA24" s="319"/>
      <c r="AN24" s="40"/>
      <c r="AO24" s="40"/>
    </row>
    <row r="25" spans="2:41" s="2" customFormat="1" ht="21.95" customHeight="1" thickBot="1">
      <c r="J25" s="270"/>
      <c r="K25" s="317"/>
      <c r="L25" s="317"/>
      <c r="M25" s="271"/>
      <c r="N25" s="329" t="s">
        <v>8</v>
      </c>
      <c r="O25" s="330"/>
      <c r="P25" s="331" t="s">
        <v>7</v>
      </c>
      <c r="Q25" s="287"/>
      <c r="R25" s="287"/>
      <c r="S25" s="287"/>
      <c r="T25" s="328"/>
      <c r="U25" s="328"/>
      <c r="V25" s="276"/>
      <c r="W25" s="277"/>
      <c r="X25" s="276"/>
      <c r="Y25" s="277"/>
      <c r="Z25" s="320"/>
      <c r="AA25" s="321"/>
      <c r="AN25" s="72" t="s">
        <v>56</v>
      </c>
      <c r="AO25" s="2" t="s">
        <v>54</v>
      </c>
    </row>
    <row r="26" spans="2:41" s="2" customFormat="1" ht="21.95" customHeight="1">
      <c r="D26" s="89"/>
      <c r="E26" s="89"/>
      <c r="J26" s="308"/>
      <c r="K26" s="309"/>
      <c r="L26" s="309"/>
      <c r="M26" s="310"/>
      <c r="N26" s="311"/>
      <c r="O26" s="312"/>
      <c r="P26" s="312"/>
      <c r="Q26" s="313"/>
      <c r="R26" s="263"/>
      <c r="S26" s="263"/>
      <c r="T26" s="314"/>
      <c r="U26" s="314"/>
      <c r="V26" s="264" t="str">
        <f>IF(N26="","",N26*P26*R26*0.034*$V$4)</f>
        <v/>
      </c>
      <c r="W26" s="264"/>
      <c r="X26" s="264" t="str">
        <f>IF(N26="","",IF(ISERROR(N26*P26*R26*0.034*$X$4),"-",N26*P26*R26*0.034*$X$4))</f>
        <v/>
      </c>
      <c r="Y26" s="264"/>
      <c r="Z26" s="264" t="str">
        <f>IF(N26="","",N26*P26*AN26)</f>
        <v/>
      </c>
      <c r="AA26" s="265"/>
      <c r="AD26" s="49"/>
      <c r="AN26" s="2">
        <f>IF(AO26="FALSE",R26,IF(T26="風除室",1/((1/R26)+0.1),0.5*R26+0.5*(1/((1/R26)+AO26))))</f>
        <v>0</v>
      </c>
      <c r="AO26" s="40" t="str">
        <f>IF(T26="","FALSE",IF(T26="雨戸",0.1,IF(T26="ｼｬｯﾀｰ",0.1,IF(T26="障子",0.18,IF(T26="風除室",0.1)))))</f>
        <v>FALSE</v>
      </c>
    </row>
    <row r="27" spans="2:41" s="2" customFormat="1" ht="21.95" customHeight="1">
      <c r="D27" s="89"/>
      <c r="E27" s="89"/>
      <c r="J27" s="302"/>
      <c r="K27" s="303"/>
      <c r="L27" s="303"/>
      <c r="M27" s="304"/>
      <c r="N27" s="250"/>
      <c r="O27" s="305"/>
      <c r="P27" s="306"/>
      <c r="Q27" s="251"/>
      <c r="R27" s="250"/>
      <c r="S27" s="251"/>
      <c r="T27" s="315"/>
      <c r="U27" s="316"/>
      <c r="V27" s="233" t="str">
        <f>IF(N27="","",N27*P27*R27*0.034*$V$4)</f>
        <v/>
      </c>
      <c r="W27" s="234"/>
      <c r="X27" s="233" t="str">
        <f>IF(N27="","",IF(ISERROR(N27*P27*R27*0.034*$X$4),"-",N27*P27*R27*0.034*$X$4))</f>
        <v/>
      </c>
      <c r="Y27" s="234"/>
      <c r="Z27" s="233" t="str">
        <f>IF(N27="","",N27*P27*AN27)</f>
        <v/>
      </c>
      <c r="AA27" s="256"/>
      <c r="AD27" s="49"/>
      <c r="AN27" s="2">
        <f>IF(AO27="FALSE",R27,IF(T27="風除室",1/((1/R27)+0.1),0.5*R27+0.5*(1/((1/R27)+AO27))))</f>
        <v>0</v>
      </c>
      <c r="AO27" s="40" t="str">
        <f>IF(T27="","FALSE",IF(T27="雨戸",0.1,IF(T27="ｼｬｯﾀｰ",0.1,IF(T27="障子",0.18,IF(T27="風除室",0.1)))))</f>
        <v>FALSE</v>
      </c>
    </row>
    <row r="28" spans="2:41" s="2" customFormat="1" ht="21.95" customHeight="1" thickBot="1">
      <c r="D28" s="89"/>
      <c r="E28" s="89"/>
      <c r="J28" s="294"/>
      <c r="K28" s="295"/>
      <c r="L28" s="295"/>
      <c r="M28" s="296"/>
      <c r="N28" s="297"/>
      <c r="O28" s="298"/>
      <c r="P28" s="298"/>
      <c r="Q28" s="299"/>
      <c r="R28" s="300"/>
      <c r="S28" s="300"/>
      <c r="T28" s="301" t="s">
        <v>44</v>
      </c>
      <c r="U28" s="301"/>
      <c r="V28" s="289" t="str">
        <f>IF(N28="","",N28*P28*R28*0.034*$V$4)</f>
        <v/>
      </c>
      <c r="W28" s="289"/>
      <c r="X28" s="289" t="str">
        <f>IF(N28="","",IF(ISERROR(N28*P28*R28*0.034*$X$4),"-",N28*P28*R28*0.034*$X$4))</f>
        <v/>
      </c>
      <c r="Y28" s="289"/>
      <c r="Z28" s="289" t="str">
        <f>IF(N28="","",N28*P28*AN28)</f>
        <v/>
      </c>
      <c r="AA28" s="290"/>
      <c r="AD28" s="49"/>
      <c r="AN28" s="2" t="e">
        <f>IF(AO28="FALSE",R28,IF(T28="風除室",1/((1/R28)+0.1),0.5*R28+0.5*(1/((1/R28)+AO28))))</f>
        <v>#DIV/0!</v>
      </c>
      <c r="AO28" s="40" t="b">
        <f>IF(T28="","FALSE",IF(T28="雨戸",0.1,IF(T28="ｼｬｯﾀｰ",0.1,IF(T28="障子",0.18,IF(T28="風除室",0.1)))))</f>
        <v>0</v>
      </c>
    </row>
    <row r="29" spans="2:41" s="2" customFormat="1" ht="21.95" customHeight="1" thickBot="1">
      <c r="J29" s="218" t="s">
        <v>216</v>
      </c>
      <c r="K29" s="219"/>
      <c r="L29" s="219"/>
      <c r="M29" s="219"/>
      <c r="N29" s="219"/>
      <c r="O29" s="219"/>
      <c r="P29" s="219"/>
      <c r="Q29" s="219"/>
      <c r="R29" s="219"/>
      <c r="S29" s="219"/>
      <c r="T29" s="219"/>
      <c r="U29" s="366"/>
      <c r="V29" s="220">
        <f>SUM(V26:W28)</f>
        <v>0</v>
      </c>
      <c r="W29" s="220"/>
      <c r="X29" s="220">
        <f>SUM(X26:Y28)</f>
        <v>0</v>
      </c>
      <c r="Y29" s="220"/>
      <c r="Z29" s="220">
        <f>SUM(Z26:AA28)</f>
        <v>0</v>
      </c>
      <c r="AA29" s="221"/>
      <c r="AO29" s="40"/>
    </row>
    <row r="30" spans="2:41" s="2" customFormat="1" ht="9.9499999999999993" customHeight="1">
      <c r="J30" s="26"/>
      <c r="K30" s="26"/>
      <c r="L30" s="26"/>
      <c r="M30" s="26"/>
      <c r="N30" s="26"/>
      <c r="O30" s="26"/>
      <c r="P30" s="26"/>
      <c r="Q30" s="26"/>
      <c r="R30" s="26"/>
      <c r="S30" s="26"/>
      <c r="T30" s="26"/>
      <c r="U30" s="26"/>
      <c r="V30" s="73"/>
      <c r="W30" s="73"/>
      <c r="X30" s="73"/>
      <c r="Y30" s="73"/>
      <c r="Z30" s="73"/>
      <c r="AA30" s="73"/>
      <c r="AO30" s="40"/>
    </row>
    <row r="31" spans="2:41" s="2" customFormat="1" ht="21.95" customHeight="1" thickBot="1">
      <c r="J31" s="4" t="s">
        <v>15</v>
      </c>
      <c r="K31" s="4"/>
      <c r="L31" s="4"/>
      <c r="AO31" s="40"/>
    </row>
    <row r="32" spans="2:41" s="2" customFormat="1" ht="21.95" customHeight="1">
      <c r="J32" s="266" t="s">
        <v>0</v>
      </c>
      <c r="K32" s="267"/>
      <c r="L32" s="272" t="s">
        <v>159</v>
      </c>
      <c r="M32" s="273"/>
      <c r="N32" s="272" t="s">
        <v>160</v>
      </c>
      <c r="O32" s="273"/>
      <c r="P32" s="278" t="s">
        <v>161</v>
      </c>
      <c r="Q32" s="279"/>
      <c r="R32" s="284" t="s">
        <v>154</v>
      </c>
      <c r="S32" s="285"/>
      <c r="T32" s="284" t="s">
        <v>158</v>
      </c>
      <c r="U32" s="285"/>
      <c r="V32" s="284" t="s">
        <v>156</v>
      </c>
      <c r="W32" s="285"/>
      <c r="X32" s="284" t="s">
        <v>123</v>
      </c>
      <c r="Y32" s="291"/>
      <c r="AO32" s="40"/>
    </row>
    <row r="33" spans="2:41" s="2" customFormat="1" ht="21.95" customHeight="1">
      <c r="J33" s="268"/>
      <c r="K33" s="269"/>
      <c r="L33" s="274"/>
      <c r="M33" s="275"/>
      <c r="N33" s="274"/>
      <c r="O33" s="275"/>
      <c r="P33" s="280"/>
      <c r="Q33" s="281"/>
      <c r="R33" s="286"/>
      <c r="S33" s="286"/>
      <c r="T33" s="288"/>
      <c r="U33" s="286"/>
      <c r="V33" s="288"/>
      <c r="W33" s="286"/>
      <c r="X33" s="286"/>
      <c r="Y33" s="292"/>
      <c r="AO33" s="40"/>
    </row>
    <row r="34" spans="2:41" s="2" customFormat="1" ht="21.95" customHeight="1" thickBot="1">
      <c r="J34" s="270"/>
      <c r="K34" s="271"/>
      <c r="L34" s="276"/>
      <c r="M34" s="277"/>
      <c r="N34" s="276"/>
      <c r="O34" s="277"/>
      <c r="P34" s="282"/>
      <c r="Q34" s="283"/>
      <c r="R34" s="287"/>
      <c r="S34" s="287"/>
      <c r="T34" s="287"/>
      <c r="U34" s="287"/>
      <c r="V34" s="287"/>
      <c r="W34" s="287"/>
      <c r="X34" s="287"/>
      <c r="Y34" s="293"/>
    </row>
    <row r="35" spans="2:41" s="2" customFormat="1" ht="21.95" customHeight="1">
      <c r="J35" s="257"/>
      <c r="K35" s="258"/>
      <c r="L35" s="259"/>
      <c r="M35" s="260"/>
      <c r="N35" s="259"/>
      <c r="O35" s="260"/>
      <c r="P35" s="261" t="str">
        <f>IF(L35="","",L35-N35)</f>
        <v/>
      </c>
      <c r="Q35" s="262"/>
      <c r="R35" s="263"/>
      <c r="S35" s="263"/>
      <c r="T35" s="235" t="str">
        <f>IF(P35="","",P35*R35*0.034*$V$4)</f>
        <v/>
      </c>
      <c r="U35" s="235"/>
      <c r="V35" s="233" t="str">
        <f>IF(P35="","",IF(ISERROR(P35*R35*0.034*$X$4),"-",P35*R35*0.034*$X$4))</f>
        <v/>
      </c>
      <c r="W35" s="234"/>
      <c r="X35" s="264" t="str">
        <f>IF(R35="","",R35*P35)</f>
        <v/>
      </c>
      <c r="Y35" s="265"/>
      <c r="AD35" s="49"/>
      <c r="AE35" s="49"/>
      <c r="AF35" s="49"/>
    </row>
    <row r="36" spans="2:41" s="2" customFormat="1" ht="21.95" customHeight="1">
      <c r="J36" s="248"/>
      <c r="K36" s="249"/>
      <c r="L36" s="250"/>
      <c r="M36" s="251"/>
      <c r="N36" s="250"/>
      <c r="O36" s="251"/>
      <c r="P36" s="252" t="str">
        <f t="shared" ref="P36:P37" si="10">IF(L36="","",L36-N36)</f>
        <v/>
      </c>
      <c r="Q36" s="253"/>
      <c r="R36" s="250"/>
      <c r="S36" s="251"/>
      <c r="T36" s="233" t="str">
        <f t="shared" ref="T36:T39" si="11">IF(P36="","",P36*R36*0.034*$V$4)</f>
        <v/>
      </c>
      <c r="U36" s="234"/>
      <c r="V36" s="233" t="str">
        <f t="shared" ref="V36:V39" si="12">IF(P36="","",IF(ISERROR(P36*R36*0.034*$X$4),"-",P36*R36*0.034*$X$4))</f>
        <v/>
      </c>
      <c r="W36" s="234"/>
      <c r="X36" s="233" t="str">
        <f t="shared" ref="X36:X39" si="13">IF(R36="","",R36*P36)</f>
        <v/>
      </c>
      <c r="Y36" s="256"/>
      <c r="AD36" s="49"/>
      <c r="AE36" s="49"/>
      <c r="AF36" s="49"/>
    </row>
    <row r="37" spans="2:41" s="2" customFormat="1" ht="21.95" customHeight="1">
      <c r="J37" s="248"/>
      <c r="K37" s="249"/>
      <c r="L37" s="250"/>
      <c r="M37" s="251"/>
      <c r="N37" s="250"/>
      <c r="O37" s="251"/>
      <c r="P37" s="252" t="str">
        <f t="shared" si="10"/>
        <v/>
      </c>
      <c r="Q37" s="253"/>
      <c r="R37" s="250"/>
      <c r="S37" s="251"/>
      <c r="T37" s="233" t="str">
        <f t="shared" si="11"/>
        <v/>
      </c>
      <c r="U37" s="234"/>
      <c r="V37" s="233" t="str">
        <f t="shared" si="12"/>
        <v/>
      </c>
      <c r="W37" s="234"/>
      <c r="X37" s="233" t="str">
        <f t="shared" si="13"/>
        <v/>
      </c>
      <c r="Y37" s="256"/>
      <c r="AD37" s="49"/>
      <c r="AE37" s="49"/>
      <c r="AF37" s="49"/>
    </row>
    <row r="38" spans="2:41" s="2" customFormat="1" ht="21.95" customHeight="1">
      <c r="J38" s="248"/>
      <c r="K38" s="249"/>
      <c r="L38" s="250"/>
      <c r="M38" s="251"/>
      <c r="N38" s="250"/>
      <c r="O38" s="251"/>
      <c r="P38" s="252" t="str">
        <f>IF(L38="","",L38-N38)</f>
        <v/>
      </c>
      <c r="Q38" s="253"/>
      <c r="R38" s="254"/>
      <c r="S38" s="254"/>
      <c r="T38" s="235" t="str">
        <f t="shared" si="11"/>
        <v/>
      </c>
      <c r="U38" s="235"/>
      <c r="V38" s="233" t="str">
        <f t="shared" si="12"/>
        <v/>
      </c>
      <c r="W38" s="234"/>
      <c r="X38" s="235" t="str">
        <f t="shared" si="13"/>
        <v/>
      </c>
      <c r="Y38" s="236"/>
      <c r="AD38" s="49"/>
      <c r="AE38" s="49"/>
      <c r="AF38" s="49"/>
    </row>
    <row r="39" spans="2:41" s="2" customFormat="1" ht="21.95" customHeight="1" thickBot="1">
      <c r="J39" s="237"/>
      <c r="K39" s="238"/>
      <c r="L39" s="239"/>
      <c r="M39" s="240"/>
      <c r="N39" s="239"/>
      <c r="O39" s="240"/>
      <c r="P39" s="241" t="str">
        <f>IF(L39="","",L39-N39)</f>
        <v/>
      </c>
      <c r="Q39" s="242"/>
      <c r="R39" s="243"/>
      <c r="S39" s="243"/>
      <c r="T39" s="244" t="str">
        <f t="shared" si="11"/>
        <v/>
      </c>
      <c r="U39" s="244"/>
      <c r="V39" s="245" t="str">
        <f t="shared" si="12"/>
        <v/>
      </c>
      <c r="W39" s="246"/>
      <c r="X39" s="244" t="str">
        <f t="shared" si="13"/>
        <v/>
      </c>
      <c r="Y39" s="247"/>
      <c r="AD39" s="49"/>
      <c r="AE39" s="49"/>
      <c r="AF39" s="49"/>
    </row>
    <row r="40" spans="2:41" s="2" customFormat="1" ht="21.95" customHeight="1" thickBot="1">
      <c r="J40" s="218" t="s">
        <v>217</v>
      </c>
      <c r="K40" s="219"/>
      <c r="L40" s="219"/>
      <c r="M40" s="219"/>
      <c r="N40" s="219"/>
      <c r="O40" s="219"/>
      <c r="P40" s="219"/>
      <c r="Q40" s="219"/>
      <c r="R40" s="219"/>
      <c r="S40" s="219"/>
      <c r="T40" s="220">
        <f>SUM(T35:U39)</f>
        <v>0</v>
      </c>
      <c r="U40" s="220"/>
      <c r="V40" s="220">
        <f>IF(共通条件・結果!AA7="８地域","-",SUM(V35:W39))</f>
        <v>0</v>
      </c>
      <c r="W40" s="220"/>
      <c r="X40" s="220">
        <f>SUM(X35:Y39)</f>
        <v>0</v>
      </c>
      <c r="Y40" s="221"/>
    </row>
    <row r="41" spans="2:41" s="2" customFormat="1" ht="12">
      <c r="J41" s="74" t="s">
        <v>168</v>
      </c>
    </row>
    <row r="42" spans="2:41" s="2" customFormat="1" ht="21.95" customHeight="1" thickBot="1">
      <c r="B42" s="4" t="s">
        <v>218</v>
      </c>
    </row>
    <row r="43" spans="2:41" s="2" customFormat="1" ht="21.95" customHeight="1">
      <c r="B43" s="222" t="s">
        <v>195</v>
      </c>
      <c r="C43" s="223"/>
      <c r="D43" s="149" t="s">
        <v>37</v>
      </c>
      <c r="E43" s="150"/>
      <c r="F43" s="150"/>
      <c r="G43" s="150"/>
      <c r="H43" s="150"/>
      <c r="I43" s="150"/>
      <c r="J43" s="151"/>
      <c r="K43" s="68"/>
      <c r="L43" s="228">
        <f>Q43+U43+Y43</f>
        <v>0</v>
      </c>
      <c r="M43" s="228"/>
      <c r="N43" s="228"/>
      <c r="O43" s="68" t="s">
        <v>22</v>
      </c>
      <c r="P43" s="11" t="s">
        <v>21</v>
      </c>
      <c r="Q43" s="229">
        <f>D8*F8+D9*F9+D10*F10+D11*F11+D12*F12+D13*F13+D14*F14+D15*F15+D16*F16+D17*F17+D18*F18+D19*F19</f>
        <v>0</v>
      </c>
      <c r="R43" s="229"/>
      <c r="S43" s="75" t="s">
        <v>23</v>
      </c>
      <c r="T43" s="75" t="s">
        <v>20</v>
      </c>
      <c r="U43" s="230">
        <f>N26*P26+N27*P27+N28*P28</f>
        <v>0</v>
      </c>
      <c r="V43" s="230"/>
      <c r="W43" s="75" t="s">
        <v>23</v>
      </c>
      <c r="X43" s="75" t="s">
        <v>1</v>
      </c>
      <c r="Y43" s="232">
        <f>SUM(P35:Q39)</f>
        <v>0</v>
      </c>
      <c r="Z43" s="232"/>
      <c r="AA43" s="76" t="s">
        <v>17</v>
      </c>
    </row>
    <row r="44" spans="2:41" s="2" customFormat="1" ht="21.95" customHeight="1">
      <c r="B44" s="224"/>
      <c r="C44" s="225"/>
      <c r="D44" s="154" t="s">
        <v>47</v>
      </c>
      <c r="E44" s="155"/>
      <c r="F44" s="155"/>
      <c r="G44" s="155"/>
      <c r="H44" s="155"/>
      <c r="I44" s="155"/>
      <c r="J44" s="156"/>
      <c r="K44" s="71"/>
      <c r="L44" s="71"/>
      <c r="M44" s="71"/>
      <c r="N44" s="71"/>
      <c r="O44" s="71"/>
      <c r="P44" s="71"/>
      <c r="Q44" s="71"/>
      <c r="R44" s="71"/>
      <c r="S44" s="71"/>
      <c r="T44" s="71"/>
      <c r="U44" s="71"/>
      <c r="V44" s="71"/>
      <c r="W44" s="215">
        <f>V20+V29+T40</f>
        <v>0</v>
      </c>
      <c r="X44" s="215"/>
      <c r="Y44" s="215"/>
      <c r="Z44" s="216" t="s">
        <v>126</v>
      </c>
      <c r="AA44" s="217"/>
    </row>
    <row r="45" spans="2:41" s="2" customFormat="1" ht="21.95" customHeight="1">
      <c r="B45" s="224"/>
      <c r="C45" s="225"/>
      <c r="D45" s="154" t="s">
        <v>48</v>
      </c>
      <c r="E45" s="155"/>
      <c r="F45" s="155"/>
      <c r="G45" s="155"/>
      <c r="H45" s="155"/>
      <c r="I45" s="155"/>
      <c r="J45" s="156"/>
      <c r="K45" s="71"/>
      <c r="L45" s="71"/>
      <c r="M45" s="71"/>
      <c r="N45" s="71"/>
      <c r="O45" s="71"/>
      <c r="P45" s="71"/>
      <c r="Q45" s="71"/>
      <c r="R45" s="71"/>
      <c r="S45" s="71"/>
      <c r="T45" s="71"/>
      <c r="U45" s="71"/>
      <c r="V45" s="71"/>
      <c r="W45" s="215">
        <f>IF(共通条件・結果!AA7="８地域","-",$X$20+$X$29+$V$40)</f>
        <v>0</v>
      </c>
      <c r="X45" s="215"/>
      <c r="Y45" s="215"/>
      <c r="Z45" s="216" t="s">
        <v>126</v>
      </c>
      <c r="AA45" s="217"/>
    </row>
    <row r="46" spans="2:41" s="2" customFormat="1" ht="21.95" customHeight="1" thickBot="1">
      <c r="B46" s="226"/>
      <c r="C46" s="227"/>
      <c r="D46" s="142" t="s">
        <v>18</v>
      </c>
      <c r="E46" s="143"/>
      <c r="F46" s="143"/>
      <c r="G46" s="143"/>
      <c r="H46" s="143"/>
      <c r="I46" s="143"/>
      <c r="J46" s="144"/>
      <c r="K46" s="69"/>
      <c r="L46" s="69"/>
      <c r="M46" s="69"/>
      <c r="N46" s="69"/>
      <c r="O46" s="69"/>
      <c r="P46" s="69"/>
      <c r="Q46" s="69"/>
      <c r="R46" s="69"/>
      <c r="S46" s="69"/>
      <c r="T46" s="69"/>
      <c r="U46" s="69"/>
      <c r="V46" s="69"/>
      <c r="W46" s="255">
        <f>Z20+Z29+X40</f>
        <v>0</v>
      </c>
      <c r="X46" s="255"/>
      <c r="Y46" s="255"/>
      <c r="Z46" s="70" t="s">
        <v>19</v>
      </c>
      <c r="AA46" s="77"/>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Q06T51jZZBVkAE6DACYmRdJryB0nIhG7TsyRfv+NqnqTZ/PEUR6wwvepcH8uboJaMObXEXs0hwPZaSNQCPnIXw==" saltValue="pYorvNEQBlAW0bLzGbZH/A==" spinCount="100000"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Y43:Z43">
    <cfRule type="expression" dxfId="94" priority="23" stopIfTrue="1">
      <formula>$Y$43=0</formula>
    </cfRule>
  </conditionalFormatting>
  <conditionalFormatting sqref="Q43:R43">
    <cfRule type="expression" dxfId="93" priority="22" stopIfTrue="1">
      <formula>$Q$43=0</formula>
    </cfRule>
  </conditionalFormatting>
  <conditionalFormatting sqref="U43:V43">
    <cfRule type="expression" dxfId="92" priority="21" stopIfTrue="1">
      <formula>$U$43=0</formula>
    </cfRule>
  </conditionalFormatting>
  <conditionalFormatting sqref="L43:N43">
    <cfRule type="expression" dxfId="91" priority="20" stopIfTrue="1">
      <formula>$L$43=0</formula>
    </cfRule>
  </conditionalFormatting>
  <conditionalFormatting sqref="X8:Y8">
    <cfRule type="expression" dxfId="90" priority="18" stopIfTrue="1">
      <formula>#VALUE!</formula>
    </cfRule>
    <cfRule type="expression" dxfId="89" priority="19" stopIfTrue="1">
      <formula>#VALUE!</formula>
    </cfRule>
  </conditionalFormatting>
  <conditionalFormatting sqref="X19:Y19">
    <cfRule type="expression" dxfId="88" priority="17" stopIfTrue="1">
      <formula>#VALUE!</formula>
    </cfRule>
  </conditionalFormatting>
  <conditionalFormatting sqref="X8:Y8">
    <cfRule type="expression" dxfId="87" priority="15" stopIfTrue="1">
      <formula>#VALUE!</formula>
    </cfRule>
    <cfRule type="expression" dxfId="86" priority="16" stopIfTrue="1">
      <formula>#VALUE!</formula>
    </cfRule>
  </conditionalFormatting>
  <conditionalFormatting sqref="X19:Y19">
    <cfRule type="expression" dxfId="85" priority="14" stopIfTrue="1">
      <formula>#VALUE!</formula>
    </cfRule>
  </conditionalFormatting>
  <conditionalFormatting sqref="P8:U8">
    <cfRule type="expression" dxfId="84" priority="13" stopIfTrue="1">
      <formula>$AG$8=TRUE</formula>
    </cfRule>
  </conditionalFormatting>
  <conditionalFormatting sqref="P15:U15">
    <cfRule type="expression" dxfId="83" priority="12" stopIfTrue="1">
      <formula>$AG$15=TRUE</formula>
    </cfRule>
  </conditionalFormatting>
  <conditionalFormatting sqref="P16:U16">
    <cfRule type="expression" dxfId="82" priority="11" stopIfTrue="1">
      <formula>$AG$16=TRUE</formula>
    </cfRule>
  </conditionalFormatting>
  <conditionalFormatting sqref="P17:U17">
    <cfRule type="expression" dxfId="81" priority="10" stopIfTrue="1">
      <formula>$AG$17=TRUE</formula>
    </cfRule>
  </conditionalFormatting>
  <conditionalFormatting sqref="P18:U18">
    <cfRule type="expression" dxfId="80" priority="9" stopIfTrue="1">
      <formula>$AG$18=TRUE</formula>
    </cfRule>
  </conditionalFormatting>
  <conditionalFormatting sqref="P19:U19">
    <cfRule type="expression" dxfId="79" priority="8" stopIfTrue="1">
      <formula>$AG$19=TRUE</formula>
    </cfRule>
  </conditionalFormatting>
  <conditionalFormatting sqref="P10:U10">
    <cfRule type="expression" dxfId="78" priority="7" stopIfTrue="1">
      <formula>$AG$10=TRUE</formula>
    </cfRule>
  </conditionalFormatting>
  <conditionalFormatting sqref="P11:U11">
    <cfRule type="expression" dxfId="77" priority="6" stopIfTrue="1">
      <formula>$AG$11=TRUE</formula>
    </cfRule>
  </conditionalFormatting>
  <conditionalFormatting sqref="P14:U14">
    <cfRule type="expression" dxfId="76" priority="5" stopIfTrue="1">
      <formula>$AG$14=TRUE</formula>
    </cfRule>
  </conditionalFormatting>
  <conditionalFormatting sqref="P9:U9">
    <cfRule type="expression" dxfId="75" priority="4" stopIfTrue="1">
      <formula>$AG$9=TRUE</formula>
    </cfRule>
  </conditionalFormatting>
  <conditionalFormatting sqref="P12:U12">
    <cfRule type="expression" dxfId="74" priority="3">
      <formula>$AG$12=TRUE</formula>
    </cfRule>
  </conditionalFormatting>
  <conditionalFormatting sqref="P13:U13">
    <cfRule type="expression" dxfId="73" priority="2">
      <formula>$AG$13=TRUE</formula>
    </cfRule>
  </conditionalFormatting>
  <dataValidations count="1">
    <dataValidation type="list" allowBlank="1" showInputMessage="1" showErrorMessage="1" sqref="M14:M19 L8:L19 M8:M11 T26:T28 U26 U28" xr:uid="{1ADC0167-CCDE-4D97-B267-D92C4F9CCAEF}">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3FC7A-FE14-435E-9712-8E1A31F2CDA5}">
  <sheetPr codeName="Sheet8"/>
  <dimension ref="B1:AO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9" width="3.875" customWidth="1"/>
    <col min="30" max="31" width="10.625" hidden="1" customWidth="1"/>
    <col min="32" max="32" width="2.625" hidden="1" customWidth="1"/>
    <col min="33" max="35" width="10.625" hidden="1" customWidth="1"/>
    <col min="36" max="36" width="2.625" hidden="1" customWidth="1"/>
    <col min="37" max="38" width="15.625" hidden="1" customWidth="1"/>
    <col min="39" max="39" width="2.625" hidden="1" customWidth="1"/>
    <col min="40" max="41" width="10.625" hidden="1" customWidth="1"/>
    <col min="42" max="43" width="3.625" customWidth="1"/>
    <col min="44" max="45" width="4.625" customWidth="1"/>
  </cols>
  <sheetData>
    <row r="1" spans="2:41" ht="3.95" customHeight="1"/>
    <row r="2" spans="2:41" s="1" customFormat="1" ht="30" customHeight="1">
      <c r="B2" s="379" t="s">
        <v>209</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row>
    <row r="3" spans="2:41" s="2" customFormat="1" ht="24.95" customHeight="1" thickBot="1"/>
    <row r="4" spans="2:41" s="2" customFormat="1" ht="21.95" customHeight="1" thickBot="1">
      <c r="B4" s="4" t="s">
        <v>5</v>
      </c>
      <c r="R4" s="380" t="s">
        <v>33</v>
      </c>
      <c r="S4" s="381"/>
      <c r="T4" s="381"/>
      <c r="U4" s="382"/>
      <c r="V4" s="383"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W4" s="384"/>
      <c r="X4" s="383"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Y4" s="384"/>
    </row>
    <row r="5" spans="2:41" s="2" customFormat="1" ht="21.95" customHeight="1">
      <c r="B5" s="385" t="s">
        <v>6</v>
      </c>
      <c r="C5" s="285"/>
      <c r="D5" s="285" t="s">
        <v>153</v>
      </c>
      <c r="E5" s="285"/>
      <c r="F5" s="285"/>
      <c r="G5" s="285"/>
      <c r="H5" s="284" t="s">
        <v>154</v>
      </c>
      <c r="I5" s="285"/>
      <c r="J5" s="284" t="s">
        <v>65</v>
      </c>
      <c r="K5" s="285"/>
      <c r="L5" s="284" t="s">
        <v>9</v>
      </c>
      <c r="M5" s="285"/>
      <c r="N5" s="388" t="s">
        <v>46</v>
      </c>
      <c r="O5" s="232"/>
      <c r="P5" s="232"/>
      <c r="Q5" s="232"/>
      <c r="R5" s="232"/>
      <c r="S5" s="232"/>
      <c r="T5" s="232"/>
      <c r="U5" s="232"/>
      <c r="V5" s="284" t="s">
        <v>155</v>
      </c>
      <c r="W5" s="285"/>
      <c r="X5" s="284" t="s">
        <v>156</v>
      </c>
      <c r="Y5" s="285"/>
      <c r="Z5" s="284" t="s">
        <v>123</v>
      </c>
      <c r="AA5" s="291"/>
    </row>
    <row r="6" spans="2:41" s="2" customFormat="1" ht="21.95" customHeight="1">
      <c r="B6" s="386"/>
      <c r="C6" s="286"/>
      <c r="D6" s="367" t="s">
        <v>8</v>
      </c>
      <c r="E6" s="368"/>
      <c r="F6" s="371" t="s">
        <v>7</v>
      </c>
      <c r="G6" s="372"/>
      <c r="H6" s="286"/>
      <c r="I6" s="286"/>
      <c r="J6" s="288"/>
      <c r="K6" s="286"/>
      <c r="L6" s="288"/>
      <c r="M6" s="286"/>
      <c r="N6" s="373" t="s">
        <v>45</v>
      </c>
      <c r="O6" s="374"/>
      <c r="P6" s="376" t="s">
        <v>157</v>
      </c>
      <c r="Q6" s="377"/>
      <c r="R6" s="377"/>
      <c r="S6" s="377"/>
      <c r="T6" s="377"/>
      <c r="U6" s="378"/>
      <c r="V6" s="288"/>
      <c r="W6" s="286"/>
      <c r="X6" s="288"/>
      <c r="Y6" s="286"/>
      <c r="Z6" s="286"/>
      <c r="AA6" s="292"/>
      <c r="AD6" s="307" t="s">
        <v>49</v>
      </c>
      <c r="AE6" s="307"/>
      <c r="AF6" s="40"/>
      <c r="AG6" s="40"/>
      <c r="AH6" s="307" t="s">
        <v>12</v>
      </c>
      <c r="AI6" s="307"/>
      <c r="AJ6" s="40"/>
      <c r="AK6" s="307" t="s">
        <v>50</v>
      </c>
      <c r="AL6" s="307"/>
      <c r="AN6" s="307" t="s">
        <v>58</v>
      </c>
      <c r="AO6" s="307"/>
    </row>
    <row r="7" spans="2:41" s="2" customFormat="1" ht="21.95" customHeight="1" thickBot="1">
      <c r="B7" s="387"/>
      <c r="C7" s="287"/>
      <c r="D7" s="369"/>
      <c r="E7" s="370"/>
      <c r="F7" s="317"/>
      <c r="G7" s="271"/>
      <c r="H7" s="287"/>
      <c r="I7" s="287"/>
      <c r="J7" s="287"/>
      <c r="K7" s="287"/>
      <c r="L7" s="287"/>
      <c r="M7" s="287"/>
      <c r="N7" s="276"/>
      <c r="O7" s="375"/>
      <c r="P7" s="271" t="s">
        <v>10</v>
      </c>
      <c r="Q7" s="320"/>
      <c r="R7" s="364" t="s">
        <v>11</v>
      </c>
      <c r="S7" s="365"/>
      <c r="T7" s="271" t="s">
        <v>3</v>
      </c>
      <c r="U7" s="320"/>
      <c r="V7" s="287"/>
      <c r="W7" s="287"/>
      <c r="X7" s="287"/>
      <c r="Y7" s="287"/>
      <c r="Z7" s="287"/>
      <c r="AA7" s="293"/>
      <c r="AD7" s="40" t="s">
        <v>4</v>
      </c>
      <c r="AE7" s="40" t="s">
        <v>16</v>
      </c>
      <c r="AF7" s="40"/>
      <c r="AG7" s="40"/>
      <c r="AH7" s="40" t="s">
        <v>4</v>
      </c>
      <c r="AI7" s="40" t="s">
        <v>16</v>
      </c>
      <c r="AJ7" s="40"/>
      <c r="AK7" s="40" t="s">
        <v>4</v>
      </c>
      <c r="AL7" s="40" t="s">
        <v>16</v>
      </c>
      <c r="AN7" s="72" t="s">
        <v>56</v>
      </c>
      <c r="AO7" s="2" t="s">
        <v>54</v>
      </c>
    </row>
    <row r="8" spans="2:41" s="2" customFormat="1" ht="21.95" customHeight="1">
      <c r="B8" s="257"/>
      <c r="C8" s="363"/>
      <c r="D8" s="311"/>
      <c r="E8" s="312"/>
      <c r="F8" s="312"/>
      <c r="G8" s="313"/>
      <c r="H8" s="263"/>
      <c r="I8" s="263"/>
      <c r="J8" s="263"/>
      <c r="K8" s="263"/>
      <c r="L8" s="335"/>
      <c r="M8" s="335"/>
      <c r="N8" s="355"/>
      <c r="O8" s="356"/>
      <c r="P8" s="357"/>
      <c r="Q8" s="358"/>
      <c r="R8" s="359"/>
      <c r="S8" s="360"/>
      <c r="T8" s="361"/>
      <c r="U8" s="357"/>
      <c r="V8" s="362" t="str">
        <f>IF(D8="","",AD8)</f>
        <v/>
      </c>
      <c r="W8" s="362"/>
      <c r="X8" s="362" t="str">
        <f t="shared" ref="X8:X19" si="0">IF(D8="","",IF(ISERROR(AE8),"-",AE8))</f>
        <v/>
      </c>
      <c r="Y8" s="362"/>
      <c r="Z8" s="362" t="str">
        <f>IF(D8="","",D8*F8*AN8)</f>
        <v/>
      </c>
      <c r="AA8" s="389"/>
      <c r="AD8" s="2" t="e">
        <f>D8*F8*J8*$V$4*AH8</f>
        <v>#VALUE!</v>
      </c>
      <c r="AE8" s="2" t="e">
        <f>D8*F8*J8*$X$4*AI8</f>
        <v>#VALUE!</v>
      </c>
      <c r="AG8" s="49"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40" t="str">
        <f t="shared" ref="AO8:AO19" si="1">IF(L8="","FALSE",IF(L8="雨戸",0.1,IF(L8="ｼｬｯﾀｰ",0.1,IF(L8="障子",0.18,IF(L8="風除室",0.1)))))</f>
        <v>FALSE</v>
      </c>
    </row>
    <row r="9" spans="2:41" s="2" customFormat="1" ht="21.95" customHeight="1">
      <c r="B9" s="248"/>
      <c r="C9" s="349"/>
      <c r="D9" s="350"/>
      <c r="E9" s="351"/>
      <c r="F9" s="351"/>
      <c r="G9" s="352"/>
      <c r="H9" s="254"/>
      <c r="I9" s="254"/>
      <c r="J9" s="254"/>
      <c r="K9" s="254"/>
      <c r="L9" s="301"/>
      <c r="M9" s="301"/>
      <c r="N9" s="341"/>
      <c r="O9" s="342"/>
      <c r="P9" s="343"/>
      <c r="Q9" s="344"/>
      <c r="R9" s="345"/>
      <c r="S9" s="346"/>
      <c r="T9" s="347"/>
      <c r="U9" s="343"/>
      <c r="V9" s="235" t="str">
        <f t="shared" ref="V9:V19" si="2">IF(D9="","",AD9)</f>
        <v/>
      </c>
      <c r="W9" s="235"/>
      <c r="X9" s="235" t="str">
        <f t="shared" si="0"/>
        <v/>
      </c>
      <c r="Y9" s="235"/>
      <c r="Z9" s="235" t="str">
        <f t="shared" ref="Z9:Z19" si="3">IF(D9="","",D9*F9*AN9)</f>
        <v/>
      </c>
      <c r="AA9" s="236"/>
      <c r="AD9" s="2" t="e">
        <f t="shared" ref="AD9:AD19" si="4">D9*F9*J9*$V$4*AH9</f>
        <v>#VALUE!</v>
      </c>
      <c r="AE9" s="2" t="e">
        <f t="shared" ref="AE9:AE19" si="5">D9*F9*J9*$X$4*AI9</f>
        <v>#VALUE!</v>
      </c>
      <c r="AG9" s="49"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40" t="str">
        <f t="shared" si="1"/>
        <v>FALSE</v>
      </c>
    </row>
    <row r="10" spans="2:41" s="2" customFormat="1" ht="21.95" customHeight="1">
      <c r="B10" s="248"/>
      <c r="C10" s="349"/>
      <c r="D10" s="350"/>
      <c r="E10" s="351"/>
      <c r="F10" s="351"/>
      <c r="G10" s="352"/>
      <c r="H10" s="254"/>
      <c r="I10" s="254"/>
      <c r="J10" s="254"/>
      <c r="K10" s="254"/>
      <c r="L10" s="301"/>
      <c r="M10" s="301"/>
      <c r="N10" s="341"/>
      <c r="O10" s="342"/>
      <c r="P10" s="344"/>
      <c r="Q10" s="353"/>
      <c r="R10" s="348"/>
      <c r="S10" s="353"/>
      <c r="T10" s="348"/>
      <c r="U10" s="347"/>
      <c r="V10" s="235" t="str">
        <f t="shared" si="2"/>
        <v/>
      </c>
      <c r="W10" s="235"/>
      <c r="X10" s="235" t="str">
        <f t="shared" si="0"/>
        <v/>
      </c>
      <c r="Y10" s="235"/>
      <c r="Z10" s="235" t="str">
        <f t="shared" si="3"/>
        <v/>
      </c>
      <c r="AA10" s="236"/>
      <c r="AD10" s="2" t="e">
        <f t="shared" si="4"/>
        <v>#VALUE!</v>
      </c>
      <c r="AE10" s="2" t="e">
        <f t="shared" si="5"/>
        <v>#VALUE!</v>
      </c>
      <c r="AG10" s="49" t="b">
        <v>0</v>
      </c>
      <c r="AH10" s="2" t="str">
        <f t="shared" si="6"/>
        <v>エラー</v>
      </c>
      <c r="AI10" s="2" t="str">
        <f t="shared" si="7"/>
        <v>エラー</v>
      </c>
      <c r="AK10" s="2" t="e">
        <f>IF(共通条件・結果!$AA$7="８地域",0.01*(16+19*(2*R10+T10)/P10),0.01*(16+24*(2*R10+T10)/P10))</f>
        <v>#DIV/0!</v>
      </c>
      <c r="AL10" s="2" t="e">
        <f t="shared" si="8"/>
        <v>#DIV/0!</v>
      </c>
      <c r="AN10" s="2">
        <f t="shared" si="9"/>
        <v>0</v>
      </c>
      <c r="AO10" s="40" t="str">
        <f t="shared" si="1"/>
        <v>FALSE</v>
      </c>
    </row>
    <row r="11" spans="2:41" s="2" customFormat="1" ht="21.95" customHeight="1">
      <c r="B11" s="248"/>
      <c r="C11" s="349"/>
      <c r="D11" s="350"/>
      <c r="E11" s="351"/>
      <c r="F11" s="351"/>
      <c r="G11" s="352"/>
      <c r="H11" s="254"/>
      <c r="I11" s="254"/>
      <c r="J11" s="254"/>
      <c r="K11" s="254"/>
      <c r="L11" s="301"/>
      <c r="M11" s="301"/>
      <c r="N11" s="341"/>
      <c r="O11" s="342"/>
      <c r="P11" s="344"/>
      <c r="Q11" s="353"/>
      <c r="R11" s="348"/>
      <c r="S11" s="353"/>
      <c r="T11" s="348"/>
      <c r="U11" s="347"/>
      <c r="V11" s="235" t="str">
        <f t="shared" si="2"/>
        <v/>
      </c>
      <c r="W11" s="235"/>
      <c r="X11" s="235" t="str">
        <f t="shared" si="0"/>
        <v/>
      </c>
      <c r="Y11" s="235"/>
      <c r="Z11" s="235" t="str">
        <f t="shared" si="3"/>
        <v/>
      </c>
      <c r="AA11" s="236"/>
      <c r="AD11" s="2" t="e">
        <f t="shared" si="4"/>
        <v>#VALUE!</v>
      </c>
      <c r="AE11" s="2" t="e">
        <f t="shared" si="5"/>
        <v>#VALUE!</v>
      </c>
      <c r="AG11" s="49" t="b">
        <v>0</v>
      </c>
      <c r="AH11" s="2" t="str">
        <f t="shared" si="6"/>
        <v>エラー</v>
      </c>
      <c r="AI11" s="2" t="str">
        <f t="shared" si="7"/>
        <v>エラー</v>
      </c>
      <c r="AK11" s="2" t="e">
        <f>IF(共通条件・結果!$AA$7="８地域",0.01*(16+19*(2*R11+T11)/P11),0.01*(16+24*(2*R11+T11)/P11))</f>
        <v>#DIV/0!</v>
      </c>
      <c r="AL11" s="2" t="e">
        <f t="shared" si="8"/>
        <v>#DIV/0!</v>
      </c>
      <c r="AN11" s="2">
        <f t="shared" si="9"/>
        <v>0</v>
      </c>
      <c r="AO11" s="40" t="str">
        <f t="shared" si="1"/>
        <v>FALSE</v>
      </c>
    </row>
    <row r="12" spans="2:41" s="2" customFormat="1" ht="21.95" customHeight="1">
      <c r="B12" s="248"/>
      <c r="C12" s="249"/>
      <c r="D12" s="250"/>
      <c r="E12" s="305"/>
      <c r="F12" s="306"/>
      <c r="G12" s="251"/>
      <c r="H12" s="250"/>
      <c r="I12" s="251"/>
      <c r="J12" s="250"/>
      <c r="K12" s="251"/>
      <c r="L12" s="315"/>
      <c r="M12" s="316"/>
      <c r="N12" s="341"/>
      <c r="O12" s="354"/>
      <c r="P12" s="344"/>
      <c r="Q12" s="353"/>
      <c r="R12" s="348"/>
      <c r="S12" s="353"/>
      <c r="T12" s="348"/>
      <c r="U12" s="347"/>
      <c r="V12" s="233" t="str">
        <f t="shared" si="2"/>
        <v/>
      </c>
      <c r="W12" s="234"/>
      <c r="X12" s="233" t="str">
        <f t="shared" si="0"/>
        <v/>
      </c>
      <c r="Y12" s="234"/>
      <c r="Z12" s="233" t="str">
        <f t="shared" si="3"/>
        <v/>
      </c>
      <c r="AA12" s="256"/>
      <c r="AD12" s="2" t="e">
        <f t="shared" si="4"/>
        <v>#VALUE!</v>
      </c>
      <c r="AE12" s="2" t="e">
        <f t="shared" si="5"/>
        <v>#VALUE!</v>
      </c>
      <c r="AG12" s="49" t="b">
        <v>0</v>
      </c>
      <c r="AH12" s="2" t="str">
        <f t="shared" si="6"/>
        <v>エラー</v>
      </c>
      <c r="AI12" s="2" t="str">
        <f t="shared" si="7"/>
        <v>エラー</v>
      </c>
      <c r="AK12" s="2" t="e">
        <f>IF(共通条件・結果!$AA$7="８地域",0.01*(16+19*(2*R12+T12)/P12),0.01*(16+24*(2*R12+T12)/P12))</f>
        <v>#DIV/0!</v>
      </c>
      <c r="AL12" s="2" t="e">
        <f t="shared" si="8"/>
        <v>#DIV/0!</v>
      </c>
      <c r="AN12" s="2">
        <f t="shared" si="9"/>
        <v>0</v>
      </c>
      <c r="AO12" s="40" t="str">
        <f t="shared" si="1"/>
        <v>FALSE</v>
      </c>
    </row>
    <row r="13" spans="2:41" s="2" customFormat="1" ht="21.95" customHeight="1">
      <c r="B13" s="248"/>
      <c r="C13" s="249"/>
      <c r="D13" s="250"/>
      <c r="E13" s="305"/>
      <c r="F13" s="306"/>
      <c r="G13" s="251"/>
      <c r="H13" s="250"/>
      <c r="I13" s="251"/>
      <c r="J13" s="250"/>
      <c r="K13" s="251"/>
      <c r="L13" s="315"/>
      <c r="M13" s="316"/>
      <c r="N13" s="341"/>
      <c r="O13" s="354"/>
      <c r="P13" s="344"/>
      <c r="Q13" s="353"/>
      <c r="R13" s="348"/>
      <c r="S13" s="353"/>
      <c r="T13" s="348"/>
      <c r="U13" s="347"/>
      <c r="V13" s="233" t="str">
        <f t="shared" si="2"/>
        <v/>
      </c>
      <c r="W13" s="234"/>
      <c r="X13" s="233" t="str">
        <f t="shared" si="0"/>
        <v/>
      </c>
      <c r="Y13" s="234"/>
      <c r="Z13" s="233" t="str">
        <f t="shared" si="3"/>
        <v/>
      </c>
      <c r="AA13" s="256"/>
      <c r="AD13" s="2" t="e">
        <f t="shared" si="4"/>
        <v>#VALUE!</v>
      </c>
      <c r="AE13" s="2" t="e">
        <f t="shared" si="5"/>
        <v>#VALUE!</v>
      </c>
      <c r="AG13" s="49" t="b">
        <v>0</v>
      </c>
      <c r="AH13" s="2" t="str">
        <f t="shared" si="6"/>
        <v>エラー</v>
      </c>
      <c r="AI13" s="2" t="str">
        <f t="shared" si="7"/>
        <v>エラー</v>
      </c>
      <c r="AK13" s="2" t="e">
        <f>IF(共通条件・結果!$AA$7="８地域",0.01*(16+19*(2*R13+T13)/P13),0.01*(16+24*(2*R13+T13)/P13))</f>
        <v>#DIV/0!</v>
      </c>
      <c r="AL13" s="2" t="e">
        <f t="shared" si="8"/>
        <v>#DIV/0!</v>
      </c>
      <c r="AN13" s="2">
        <f t="shared" si="9"/>
        <v>0</v>
      </c>
      <c r="AO13" s="40" t="str">
        <f t="shared" si="1"/>
        <v>FALSE</v>
      </c>
    </row>
    <row r="14" spans="2:41" s="2" customFormat="1" ht="21.95" customHeight="1">
      <c r="B14" s="248"/>
      <c r="C14" s="349"/>
      <c r="D14" s="350"/>
      <c r="E14" s="351"/>
      <c r="F14" s="351"/>
      <c r="G14" s="352"/>
      <c r="H14" s="254"/>
      <c r="I14" s="254"/>
      <c r="J14" s="254"/>
      <c r="K14" s="254"/>
      <c r="L14" s="301"/>
      <c r="M14" s="301"/>
      <c r="N14" s="341"/>
      <c r="O14" s="342"/>
      <c r="P14" s="344"/>
      <c r="Q14" s="353"/>
      <c r="R14" s="348"/>
      <c r="S14" s="353"/>
      <c r="T14" s="348"/>
      <c r="U14" s="347"/>
      <c r="V14" s="235" t="str">
        <f t="shared" si="2"/>
        <v/>
      </c>
      <c r="W14" s="235"/>
      <c r="X14" s="235" t="str">
        <f t="shared" si="0"/>
        <v/>
      </c>
      <c r="Y14" s="235"/>
      <c r="Z14" s="235" t="str">
        <f t="shared" si="3"/>
        <v/>
      </c>
      <c r="AA14" s="236"/>
      <c r="AD14" s="2" t="e">
        <f t="shared" si="4"/>
        <v>#VALUE!</v>
      </c>
      <c r="AE14" s="2" t="e">
        <f t="shared" si="5"/>
        <v>#VALUE!</v>
      </c>
      <c r="AG14" s="49" t="b">
        <v>0</v>
      </c>
      <c r="AH14" s="2" t="str">
        <f t="shared" si="6"/>
        <v>エラー</v>
      </c>
      <c r="AI14" s="2" t="str">
        <f t="shared" si="7"/>
        <v>エラー</v>
      </c>
      <c r="AK14" s="2" t="e">
        <f>IF(共通条件・結果!$AA$7="８地域",0.01*(16+19*(2*R14+T14)/P14),0.01*(16+24*(2*R14+T14)/P14))</f>
        <v>#DIV/0!</v>
      </c>
      <c r="AL14" s="2" t="e">
        <f t="shared" si="8"/>
        <v>#DIV/0!</v>
      </c>
      <c r="AN14" s="2">
        <f t="shared" si="9"/>
        <v>0</v>
      </c>
      <c r="AO14" s="40" t="str">
        <f t="shared" si="1"/>
        <v>FALSE</v>
      </c>
    </row>
    <row r="15" spans="2:41" s="2" customFormat="1" ht="21.95" customHeight="1">
      <c r="B15" s="248"/>
      <c r="C15" s="349"/>
      <c r="D15" s="350"/>
      <c r="E15" s="351"/>
      <c r="F15" s="351"/>
      <c r="G15" s="352"/>
      <c r="H15" s="254"/>
      <c r="I15" s="254"/>
      <c r="J15" s="254"/>
      <c r="K15" s="254"/>
      <c r="L15" s="301"/>
      <c r="M15" s="301"/>
      <c r="N15" s="341"/>
      <c r="O15" s="342"/>
      <c r="P15" s="344"/>
      <c r="Q15" s="353"/>
      <c r="R15" s="348"/>
      <c r="S15" s="353"/>
      <c r="T15" s="348"/>
      <c r="U15" s="347"/>
      <c r="V15" s="233" t="str">
        <f t="shared" si="2"/>
        <v/>
      </c>
      <c r="W15" s="234"/>
      <c r="X15" s="235" t="str">
        <f t="shared" si="0"/>
        <v/>
      </c>
      <c r="Y15" s="235"/>
      <c r="Z15" s="235" t="str">
        <f t="shared" si="3"/>
        <v/>
      </c>
      <c r="AA15" s="236"/>
      <c r="AD15" s="2" t="e">
        <f t="shared" si="4"/>
        <v>#VALUE!</v>
      </c>
      <c r="AE15" s="2" t="e">
        <f t="shared" si="5"/>
        <v>#VALUE!</v>
      </c>
      <c r="AG15" s="49" t="b">
        <v>0</v>
      </c>
      <c r="AH15" s="2" t="str">
        <f t="shared" si="6"/>
        <v>エラー</v>
      </c>
      <c r="AI15" s="2" t="str">
        <f t="shared" si="7"/>
        <v>エラー</v>
      </c>
      <c r="AK15" s="2" t="e">
        <f>IF(共通条件・結果!$AA$7="８地域",0.01*(16+19*(2*R15+T15)/P15),0.01*(16+24*(2*R15+T15)/P15))</f>
        <v>#DIV/0!</v>
      </c>
      <c r="AL15" s="2" t="e">
        <f t="shared" si="8"/>
        <v>#DIV/0!</v>
      </c>
      <c r="AN15" s="2">
        <f t="shared" si="9"/>
        <v>0</v>
      </c>
      <c r="AO15" s="40" t="str">
        <f t="shared" si="1"/>
        <v>FALSE</v>
      </c>
    </row>
    <row r="16" spans="2:41" s="2" customFormat="1" ht="21.95" customHeight="1">
      <c r="B16" s="248"/>
      <c r="C16" s="349"/>
      <c r="D16" s="350"/>
      <c r="E16" s="351"/>
      <c r="F16" s="351"/>
      <c r="G16" s="352"/>
      <c r="H16" s="254"/>
      <c r="I16" s="254"/>
      <c r="J16" s="254"/>
      <c r="K16" s="254"/>
      <c r="L16" s="301"/>
      <c r="M16" s="301"/>
      <c r="N16" s="341"/>
      <c r="O16" s="342"/>
      <c r="P16" s="344"/>
      <c r="Q16" s="353"/>
      <c r="R16" s="348"/>
      <c r="S16" s="353"/>
      <c r="T16" s="348"/>
      <c r="U16" s="347"/>
      <c r="V16" s="233" t="str">
        <f t="shared" si="2"/>
        <v/>
      </c>
      <c r="W16" s="234"/>
      <c r="X16" s="235" t="str">
        <f t="shared" si="0"/>
        <v/>
      </c>
      <c r="Y16" s="235"/>
      <c r="Z16" s="235" t="str">
        <f t="shared" si="3"/>
        <v/>
      </c>
      <c r="AA16" s="236"/>
      <c r="AD16" s="2" t="e">
        <f t="shared" si="4"/>
        <v>#VALUE!</v>
      </c>
      <c r="AE16" s="2" t="e">
        <f t="shared" si="5"/>
        <v>#VALUE!</v>
      </c>
      <c r="AG16" s="49" t="b">
        <v>0</v>
      </c>
      <c r="AH16" s="2" t="str">
        <f t="shared" si="6"/>
        <v>エラー</v>
      </c>
      <c r="AI16" s="2" t="str">
        <f t="shared" si="7"/>
        <v>エラー</v>
      </c>
      <c r="AK16" s="2" t="e">
        <f>IF(共通条件・結果!$AA$7="８地域",0.01*(16+19*(2*R16+T16)/P16),0.01*(16+24*(2*R16+T16)/P16))</f>
        <v>#DIV/0!</v>
      </c>
      <c r="AL16" s="2" t="e">
        <f t="shared" si="8"/>
        <v>#DIV/0!</v>
      </c>
      <c r="AN16" s="2">
        <f t="shared" si="9"/>
        <v>0</v>
      </c>
      <c r="AO16" s="40" t="str">
        <f t="shared" si="1"/>
        <v>FALSE</v>
      </c>
    </row>
    <row r="17" spans="2:41" s="2" customFormat="1" ht="21.95" customHeight="1">
      <c r="B17" s="248"/>
      <c r="C17" s="349"/>
      <c r="D17" s="350"/>
      <c r="E17" s="351"/>
      <c r="F17" s="351"/>
      <c r="G17" s="352"/>
      <c r="H17" s="254"/>
      <c r="I17" s="254"/>
      <c r="J17" s="254"/>
      <c r="K17" s="254"/>
      <c r="L17" s="301"/>
      <c r="M17" s="301"/>
      <c r="N17" s="341"/>
      <c r="O17" s="342"/>
      <c r="P17" s="343"/>
      <c r="Q17" s="344"/>
      <c r="R17" s="348"/>
      <c r="S17" s="353"/>
      <c r="T17" s="348"/>
      <c r="U17" s="347"/>
      <c r="V17" s="233" t="str">
        <f t="shared" si="2"/>
        <v/>
      </c>
      <c r="W17" s="234"/>
      <c r="X17" s="235" t="str">
        <f t="shared" si="0"/>
        <v/>
      </c>
      <c r="Y17" s="235"/>
      <c r="Z17" s="235" t="str">
        <f t="shared" si="3"/>
        <v/>
      </c>
      <c r="AA17" s="236"/>
      <c r="AD17" s="2" t="e">
        <f t="shared" si="4"/>
        <v>#VALUE!</v>
      </c>
      <c r="AE17" s="2" t="e">
        <f t="shared" si="5"/>
        <v>#VALUE!</v>
      </c>
      <c r="AG17" s="49" t="b">
        <v>0</v>
      </c>
      <c r="AH17" s="2" t="str">
        <f t="shared" si="6"/>
        <v>エラー</v>
      </c>
      <c r="AI17" s="2" t="str">
        <f t="shared" si="7"/>
        <v>エラー</v>
      </c>
      <c r="AK17" s="2" t="e">
        <f>IF(共通条件・結果!$AA$7="８地域",0.01*(16+19*(2*R17+T17)/P17),0.01*(16+24*(2*R17+T17)/P17))</f>
        <v>#DIV/0!</v>
      </c>
      <c r="AL17" s="2" t="e">
        <f t="shared" si="8"/>
        <v>#DIV/0!</v>
      </c>
      <c r="AN17" s="2">
        <f t="shared" si="9"/>
        <v>0</v>
      </c>
      <c r="AO17" s="40" t="str">
        <f t="shared" si="1"/>
        <v>FALSE</v>
      </c>
    </row>
    <row r="18" spans="2:41" s="2" customFormat="1" ht="21.95" customHeight="1">
      <c r="B18" s="248"/>
      <c r="C18" s="349"/>
      <c r="D18" s="350"/>
      <c r="E18" s="351"/>
      <c r="F18" s="351"/>
      <c r="G18" s="352"/>
      <c r="H18" s="254"/>
      <c r="I18" s="254"/>
      <c r="J18" s="254"/>
      <c r="K18" s="254"/>
      <c r="L18" s="301"/>
      <c r="M18" s="301"/>
      <c r="N18" s="341"/>
      <c r="O18" s="342"/>
      <c r="P18" s="343"/>
      <c r="Q18" s="344"/>
      <c r="R18" s="345"/>
      <c r="S18" s="346"/>
      <c r="T18" s="347"/>
      <c r="U18" s="343"/>
      <c r="V18" s="233" t="str">
        <f t="shared" si="2"/>
        <v/>
      </c>
      <c r="W18" s="234"/>
      <c r="X18" s="235" t="str">
        <f t="shared" si="0"/>
        <v/>
      </c>
      <c r="Y18" s="235"/>
      <c r="Z18" s="235" t="str">
        <f t="shared" si="3"/>
        <v/>
      </c>
      <c r="AA18" s="236"/>
      <c r="AD18" s="2" t="e">
        <f t="shared" si="4"/>
        <v>#VALUE!</v>
      </c>
      <c r="AE18" s="2" t="e">
        <f t="shared" si="5"/>
        <v>#VALUE!</v>
      </c>
      <c r="AG18" s="49" t="b">
        <v>0</v>
      </c>
      <c r="AH18" s="2" t="str">
        <f t="shared" si="6"/>
        <v>エラー</v>
      </c>
      <c r="AI18" s="2" t="str">
        <f t="shared" si="7"/>
        <v>エラー</v>
      </c>
      <c r="AK18" s="2" t="e">
        <f>IF(共通条件・結果!$AA$7="８地域",0.01*(16+19*(2*R18+T18)/P18),0.01*(16+24*(2*R18+T18)/P18))</f>
        <v>#DIV/0!</v>
      </c>
      <c r="AL18" s="2" t="e">
        <f t="shared" si="8"/>
        <v>#DIV/0!</v>
      </c>
      <c r="AN18" s="2">
        <f t="shared" si="9"/>
        <v>0</v>
      </c>
      <c r="AO18" s="40" t="str">
        <f t="shared" si="1"/>
        <v>FALSE</v>
      </c>
    </row>
    <row r="19" spans="2:41" s="2" customFormat="1" ht="21.95" customHeight="1" thickBot="1">
      <c r="B19" s="237"/>
      <c r="C19" s="334"/>
      <c r="D19" s="297"/>
      <c r="E19" s="298"/>
      <c r="F19" s="298"/>
      <c r="G19" s="299"/>
      <c r="H19" s="300"/>
      <c r="I19" s="300"/>
      <c r="J19" s="300"/>
      <c r="K19" s="300"/>
      <c r="L19" s="335"/>
      <c r="M19" s="335"/>
      <c r="N19" s="336"/>
      <c r="O19" s="337"/>
      <c r="P19" s="333"/>
      <c r="Q19" s="338"/>
      <c r="R19" s="339"/>
      <c r="S19" s="340"/>
      <c r="T19" s="332"/>
      <c r="U19" s="333"/>
      <c r="V19" s="233" t="str">
        <f t="shared" si="2"/>
        <v/>
      </c>
      <c r="W19" s="234"/>
      <c r="X19" s="235" t="str">
        <f t="shared" si="0"/>
        <v/>
      </c>
      <c r="Y19" s="235"/>
      <c r="Z19" s="244" t="str">
        <f t="shared" si="3"/>
        <v/>
      </c>
      <c r="AA19" s="247"/>
      <c r="AD19" s="2" t="e">
        <f t="shared" si="4"/>
        <v>#VALUE!</v>
      </c>
      <c r="AE19" s="2" t="e">
        <f t="shared" si="5"/>
        <v>#VALUE!</v>
      </c>
      <c r="AG19" s="49" t="b">
        <v>0</v>
      </c>
      <c r="AH19" s="2" t="str">
        <f t="shared" si="6"/>
        <v>エラー</v>
      </c>
      <c r="AI19" s="2" t="str">
        <f t="shared" si="7"/>
        <v>エラー</v>
      </c>
      <c r="AK19" s="2" t="e">
        <f>IF(共通条件・結果!$AA$7="８地域",0.01*(16+19*(2*R19+T19)/P19),0.01*(16+24*(2*R19+T19)/P19))</f>
        <v>#DIV/0!</v>
      </c>
      <c r="AL19" s="2" t="e">
        <f t="shared" si="8"/>
        <v>#DIV/0!</v>
      </c>
      <c r="AN19" s="2">
        <f t="shared" si="9"/>
        <v>0</v>
      </c>
      <c r="AO19" s="40" t="str">
        <f t="shared" si="1"/>
        <v>FALSE</v>
      </c>
    </row>
    <row r="20" spans="2:41" s="2" customFormat="1" ht="21.95" customHeight="1" thickBot="1">
      <c r="B20" s="218" t="s">
        <v>210</v>
      </c>
      <c r="C20" s="219"/>
      <c r="D20" s="219"/>
      <c r="E20" s="219"/>
      <c r="F20" s="219"/>
      <c r="G20" s="219"/>
      <c r="H20" s="219"/>
      <c r="I20" s="219"/>
      <c r="J20" s="219"/>
      <c r="K20" s="219"/>
      <c r="L20" s="219"/>
      <c r="M20" s="219"/>
      <c r="N20" s="219"/>
      <c r="O20" s="219"/>
      <c r="P20" s="219"/>
      <c r="Q20" s="219"/>
      <c r="R20" s="219"/>
      <c r="S20" s="219"/>
      <c r="T20" s="219"/>
      <c r="U20" s="219"/>
      <c r="V20" s="220">
        <f>SUM(V8:W19)</f>
        <v>0</v>
      </c>
      <c r="W20" s="220"/>
      <c r="X20" s="220">
        <f>IF(共通条件・結果!AA7="８地域","-",SUM(X8:Y19))</f>
        <v>0</v>
      </c>
      <c r="Y20" s="220"/>
      <c r="Z20" s="220">
        <f>SUM(Z8:AA19)</f>
        <v>0</v>
      </c>
      <c r="AA20" s="221"/>
    </row>
    <row r="21" spans="2:41" s="2" customFormat="1" ht="9.9499999999999993" customHeight="1">
      <c r="AN21" s="307"/>
      <c r="AO21" s="307"/>
    </row>
    <row r="22" spans="2:41" s="2" customFormat="1" ht="21.95" customHeight="1" thickBot="1">
      <c r="E22" s="4"/>
      <c r="J22" s="4" t="s">
        <v>13</v>
      </c>
    </row>
    <row r="23" spans="2:41" s="2" customFormat="1" ht="21.95" customHeight="1">
      <c r="J23" s="266" t="s">
        <v>14</v>
      </c>
      <c r="K23" s="183"/>
      <c r="L23" s="183"/>
      <c r="M23" s="267"/>
      <c r="N23" s="322" t="s">
        <v>153</v>
      </c>
      <c r="O23" s="183"/>
      <c r="P23" s="183"/>
      <c r="Q23" s="267"/>
      <c r="R23" s="284" t="s">
        <v>154</v>
      </c>
      <c r="S23" s="285"/>
      <c r="T23" s="324" t="s">
        <v>9</v>
      </c>
      <c r="U23" s="325"/>
      <c r="V23" s="272" t="s">
        <v>158</v>
      </c>
      <c r="W23" s="273"/>
      <c r="X23" s="272" t="s">
        <v>156</v>
      </c>
      <c r="Y23" s="273"/>
      <c r="Z23" s="272" t="s">
        <v>123</v>
      </c>
      <c r="AA23" s="184"/>
      <c r="AN23" s="307" t="s">
        <v>58</v>
      </c>
      <c r="AO23" s="307"/>
    </row>
    <row r="24" spans="2:41" s="2" customFormat="1" ht="21.95" customHeight="1">
      <c r="J24" s="268"/>
      <c r="K24" s="307"/>
      <c r="L24" s="307"/>
      <c r="M24" s="269"/>
      <c r="N24" s="195"/>
      <c r="O24" s="196"/>
      <c r="P24" s="196"/>
      <c r="Q24" s="323"/>
      <c r="R24" s="288"/>
      <c r="S24" s="286"/>
      <c r="T24" s="326"/>
      <c r="U24" s="327"/>
      <c r="V24" s="274"/>
      <c r="W24" s="275"/>
      <c r="X24" s="274"/>
      <c r="Y24" s="275"/>
      <c r="Z24" s="318"/>
      <c r="AA24" s="319"/>
      <c r="AN24" s="40"/>
      <c r="AO24" s="40"/>
    </row>
    <row r="25" spans="2:41" s="2" customFormat="1" ht="21.95" customHeight="1" thickBot="1">
      <c r="J25" s="270"/>
      <c r="K25" s="317"/>
      <c r="L25" s="317"/>
      <c r="M25" s="271"/>
      <c r="N25" s="329" t="s">
        <v>8</v>
      </c>
      <c r="O25" s="330"/>
      <c r="P25" s="331" t="s">
        <v>7</v>
      </c>
      <c r="Q25" s="287"/>
      <c r="R25" s="287"/>
      <c r="S25" s="287"/>
      <c r="T25" s="328"/>
      <c r="U25" s="328"/>
      <c r="V25" s="276"/>
      <c r="W25" s="277"/>
      <c r="X25" s="276"/>
      <c r="Y25" s="277"/>
      <c r="Z25" s="320"/>
      <c r="AA25" s="321"/>
      <c r="AN25" s="72" t="s">
        <v>56</v>
      </c>
      <c r="AO25" s="2" t="s">
        <v>54</v>
      </c>
    </row>
    <row r="26" spans="2:41" s="2" customFormat="1" ht="21.95" customHeight="1">
      <c r="D26" s="89"/>
      <c r="E26" s="89"/>
      <c r="J26" s="308"/>
      <c r="K26" s="309"/>
      <c r="L26" s="309"/>
      <c r="M26" s="310"/>
      <c r="N26" s="311"/>
      <c r="O26" s="312"/>
      <c r="P26" s="312"/>
      <c r="Q26" s="313"/>
      <c r="R26" s="263"/>
      <c r="S26" s="263"/>
      <c r="T26" s="314"/>
      <c r="U26" s="314"/>
      <c r="V26" s="264" t="str">
        <f>IF(N26="","",N26*P26*R26*0.034*$V$4)</f>
        <v/>
      </c>
      <c r="W26" s="264"/>
      <c r="X26" s="264" t="str">
        <f>IF(N26="","",IF(ISERROR(N26*P26*R26*0.034*$X$4),"-",N26*P26*R26*0.034*$X$4))</f>
        <v/>
      </c>
      <c r="Y26" s="264"/>
      <c r="Z26" s="264" t="str">
        <f>IF(N26="","",N26*P26*AN26)</f>
        <v/>
      </c>
      <c r="AA26" s="265"/>
      <c r="AD26" s="49"/>
      <c r="AN26" s="2">
        <f>IF(AO26="FALSE",R26,IF(T26="風除室",1/((1/R26)+0.1),0.5*R26+0.5*(1/((1/R26)+AO26))))</f>
        <v>0</v>
      </c>
      <c r="AO26" s="40" t="str">
        <f>IF(T26="","FALSE",IF(T26="雨戸",0.1,IF(T26="ｼｬｯﾀｰ",0.1,IF(T26="障子",0.18,IF(T26="風除室",0.1)))))</f>
        <v>FALSE</v>
      </c>
    </row>
    <row r="27" spans="2:41" s="2" customFormat="1" ht="21.95" customHeight="1">
      <c r="D27" s="89"/>
      <c r="E27" s="89"/>
      <c r="J27" s="302"/>
      <c r="K27" s="303"/>
      <c r="L27" s="303"/>
      <c r="M27" s="304"/>
      <c r="N27" s="250"/>
      <c r="O27" s="305"/>
      <c r="P27" s="306"/>
      <c r="Q27" s="251"/>
      <c r="R27" s="250"/>
      <c r="S27" s="251"/>
      <c r="T27" s="315"/>
      <c r="U27" s="316"/>
      <c r="V27" s="233" t="str">
        <f>IF(N27="","",N27*P27*R27*0.034*$V$4)</f>
        <v/>
      </c>
      <c r="W27" s="234"/>
      <c r="X27" s="233" t="str">
        <f>IF(N27="","",IF(ISERROR(N27*P27*R27*0.034*$X$4),"-",N27*P27*R27*0.034*$X$4))</f>
        <v/>
      </c>
      <c r="Y27" s="234"/>
      <c r="Z27" s="233" t="str">
        <f>IF(N27="","",N27*P27*AN27)</f>
        <v/>
      </c>
      <c r="AA27" s="256"/>
      <c r="AD27" s="49"/>
      <c r="AN27" s="2">
        <f>IF(AO27="FALSE",R27,IF(T27="風除室",1/((1/R27)+0.1),0.5*R27+0.5*(1/((1/R27)+AO27))))</f>
        <v>0</v>
      </c>
      <c r="AO27" s="40" t="str">
        <f>IF(T27="","FALSE",IF(T27="雨戸",0.1,IF(T27="ｼｬｯﾀｰ",0.1,IF(T27="障子",0.18,IF(T27="風除室",0.1)))))</f>
        <v>FALSE</v>
      </c>
    </row>
    <row r="28" spans="2:41" s="2" customFormat="1" ht="21.95" customHeight="1" thickBot="1">
      <c r="D28" s="89"/>
      <c r="E28" s="89"/>
      <c r="J28" s="294"/>
      <c r="K28" s="295"/>
      <c r="L28" s="295"/>
      <c r="M28" s="296"/>
      <c r="N28" s="297"/>
      <c r="O28" s="298"/>
      <c r="P28" s="298"/>
      <c r="Q28" s="299"/>
      <c r="R28" s="300"/>
      <c r="S28" s="300"/>
      <c r="T28" s="301"/>
      <c r="U28" s="301"/>
      <c r="V28" s="289" t="str">
        <f>IF(N28="","",N28*P28*R28*0.034*$V$4)</f>
        <v/>
      </c>
      <c r="W28" s="289"/>
      <c r="X28" s="289" t="str">
        <f>IF(N28="","",IF(ISERROR(N28*P28*R28*0.034*$X$4),"-",N28*P28*R28*0.034*$X$4))</f>
        <v/>
      </c>
      <c r="Y28" s="289"/>
      <c r="Z28" s="289" t="str">
        <f>IF(N28="","",N28*P28*AN28)</f>
        <v/>
      </c>
      <c r="AA28" s="290"/>
      <c r="AD28" s="49"/>
      <c r="AN28" s="2">
        <f>IF(AO28="FALSE",R28,IF(T28="風除室",1/((1/R28)+0.1),0.5*R28+0.5*(1/((1/R28)+AO28))))</f>
        <v>0</v>
      </c>
      <c r="AO28" s="40" t="str">
        <f>IF(T28="","FALSE",IF(T28="雨戸",0.1,IF(T28="ｼｬｯﾀｰ",0.1,IF(T28="障子",0.18,IF(T28="風除室",0.1)))))</f>
        <v>FALSE</v>
      </c>
    </row>
    <row r="29" spans="2:41" s="2" customFormat="1" ht="21.95" customHeight="1" thickBot="1">
      <c r="J29" s="218" t="s">
        <v>211</v>
      </c>
      <c r="K29" s="219"/>
      <c r="L29" s="219"/>
      <c r="M29" s="219"/>
      <c r="N29" s="219"/>
      <c r="O29" s="219"/>
      <c r="P29" s="219"/>
      <c r="Q29" s="219"/>
      <c r="R29" s="219"/>
      <c r="S29" s="219"/>
      <c r="T29" s="219"/>
      <c r="U29" s="366"/>
      <c r="V29" s="220">
        <f>SUM(V26:W28)</f>
        <v>0</v>
      </c>
      <c r="W29" s="220"/>
      <c r="X29" s="220">
        <f>SUM(X26:Y28)</f>
        <v>0</v>
      </c>
      <c r="Y29" s="220"/>
      <c r="Z29" s="220">
        <f>SUM(Z26:AA28)</f>
        <v>0</v>
      </c>
      <c r="AA29" s="221"/>
      <c r="AO29" s="40"/>
    </row>
    <row r="30" spans="2:41" s="2" customFormat="1" ht="9.9499999999999993" customHeight="1">
      <c r="J30" s="26"/>
      <c r="K30" s="26"/>
      <c r="L30" s="26"/>
      <c r="M30" s="26"/>
      <c r="N30" s="26"/>
      <c r="O30" s="26"/>
      <c r="P30" s="26"/>
      <c r="Q30" s="26"/>
      <c r="R30" s="26"/>
      <c r="S30" s="26"/>
      <c r="T30" s="26"/>
      <c r="U30" s="26"/>
      <c r="V30" s="73"/>
      <c r="W30" s="73"/>
      <c r="X30" s="73"/>
      <c r="Y30" s="73"/>
      <c r="Z30" s="73"/>
      <c r="AA30" s="73"/>
      <c r="AO30" s="40"/>
    </row>
    <row r="31" spans="2:41" s="2" customFormat="1" ht="21.95" customHeight="1" thickBot="1">
      <c r="J31" s="4" t="s">
        <v>15</v>
      </c>
      <c r="K31" s="4"/>
      <c r="L31" s="4"/>
      <c r="AO31" s="40"/>
    </row>
    <row r="32" spans="2:41" s="2" customFormat="1" ht="21.95" customHeight="1">
      <c r="J32" s="266" t="s">
        <v>0</v>
      </c>
      <c r="K32" s="267"/>
      <c r="L32" s="272" t="s">
        <v>159</v>
      </c>
      <c r="M32" s="273"/>
      <c r="N32" s="272" t="s">
        <v>160</v>
      </c>
      <c r="O32" s="273"/>
      <c r="P32" s="278" t="s">
        <v>161</v>
      </c>
      <c r="Q32" s="279"/>
      <c r="R32" s="284" t="s">
        <v>154</v>
      </c>
      <c r="S32" s="285"/>
      <c r="T32" s="284" t="s">
        <v>158</v>
      </c>
      <c r="U32" s="285"/>
      <c r="V32" s="284" t="s">
        <v>156</v>
      </c>
      <c r="W32" s="285"/>
      <c r="X32" s="284" t="s">
        <v>123</v>
      </c>
      <c r="Y32" s="291"/>
      <c r="AO32" s="40"/>
    </row>
    <row r="33" spans="2:41" s="2" customFormat="1" ht="21.95" customHeight="1">
      <c r="J33" s="268"/>
      <c r="K33" s="269"/>
      <c r="L33" s="274"/>
      <c r="M33" s="275"/>
      <c r="N33" s="274"/>
      <c r="O33" s="275"/>
      <c r="P33" s="280"/>
      <c r="Q33" s="281"/>
      <c r="R33" s="286"/>
      <c r="S33" s="286"/>
      <c r="T33" s="288"/>
      <c r="U33" s="286"/>
      <c r="V33" s="288"/>
      <c r="W33" s="286"/>
      <c r="X33" s="286"/>
      <c r="Y33" s="292"/>
      <c r="AO33" s="40"/>
    </row>
    <row r="34" spans="2:41" s="2" customFormat="1" ht="21.95" customHeight="1" thickBot="1">
      <c r="J34" s="270"/>
      <c r="K34" s="271"/>
      <c r="L34" s="276"/>
      <c r="M34" s="277"/>
      <c r="N34" s="276"/>
      <c r="O34" s="277"/>
      <c r="P34" s="282"/>
      <c r="Q34" s="283"/>
      <c r="R34" s="287"/>
      <c r="S34" s="287"/>
      <c r="T34" s="287"/>
      <c r="U34" s="287"/>
      <c r="V34" s="287"/>
      <c r="W34" s="287"/>
      <c r="X34" s="287"/>
      <c r="Y34" s="293"/>
    </row>
    <row r="35" spans="2:41" s="2" customFormat="1" ht="21.95" customHeight="1">
      <c r="J35" s="257"/>
      <c r="K35" s="258"/>
      <c r="L35" s="259"/>
      <c r="M35" s="260"/>
      <c r="N35" s="259"/>
      <c r="O35" s="260"/>
      <c r="P35" s="261" t="str">
        <f>IF(L35="","",L35-N35)</f>
        <v/>
      </c>
      <c r="Q35" s="262"/>
      <c r="R35" s="263"/>
      <c r="S35" s="263"/>
      <c r="T35" s="235" t="str">
        <f>IF(P35="","",P35*R35*0.034*$V$4)</f>
        <v/>
      </c>
      <c r="U35" s="235"/>
      <c r="V35" s="233" t="str">
        <f>IF(P35="","",IF(ISERROR(P35*R35*0.034*$X$4),"-",P35*R35*0.034*$X$4))</f>
        <v/>
      </c>
      <c r="W35" s="234"/>
      <c r="X35" s="264" t="str">
        <f>IF(R35="","",R35*P35)</f>
        <v/>
      </c>
      <c r="Y35" s="265"/>
      <c r="AD35" s="49"/>
      <c r="AE35" s="49"/>
      <c r="AF35" s="49"/>
    </row>
    <row r="36" spans="2:41" s="2" customFormat="1" ht="21.95" customHeight="1">
      <c r="J36" s="248"/>
      <c r="K36" s="249"/>
      <c r="L36" s="250"/>
      <c r="M36" s="251"/>
      <c r="N36" s="250"/>
      <c r="O36" s="251"/>
      <c r="P36" s="252" t="str">
        <f t="shared" ref="P36:P37" si="10">IF(L36="","",L36-N36)</f>
        <v/>
      </c>
      <c r="Q36" s="253"/>
      <c r="R36" s="250"/>
      <c r="S36" s="251"/>
      <c r="T36" s="233" t="str">
        <f t="shared" ref="T36:T39" si="11">IF(P36="","",P36*R36*0.034*$V$4)</f>
        <v/>
      </c>
      <c r="U36" s="234"/>
      <c r="V36" s="233" t="str">
        <f t="shared" ref="V36:V39" si="12">IF(P36="","",IF(ISERROR(P36*R36*0.034*$X$4),"-",P36*R36*0.034*$X$4))</f>
        <v/>
      </c>
      <c r="W36" s="234"/>
      <c r="X36" s="233" t="str">
        <f t="shared" ref="X36:X39" si="13">IF(R36="","",R36*P36)</f>
        <v/>
      </c>
      <c r="Y36" s="256"/>
      <c r="AD36" s="49"/>
      <c r="AE36" s="49"/>
      <c r="AF36" s="49"/>
    </row>
    <row r="37" spans="2:41" s="2" customFormat="1" ht="21.95" customHeight="1">
      <c r="J37" s="248"/>
      <c r="K37" s="249"/>
      <c r="L37" s="250"/>
      <c r="M37" s="251"/>
      <c r="N37" s="250"/>
      <c r="O37" s="251"/>
      <c r="P37" s="252" t="str">
        <f t="shared" si="10"/>
        <v/>
      </c>
      <c r="Q37" s="253"/>
      <c r="R37" s="250"/>
      <c r="S37" s="251"/>
      <c r="T37" s="233" t="str">
        <f t="shared" si="11"/>
        <v/>
      </c>
      <c r="U37" s="234"/>
      <c r="V37" s="233" t="str">
        <f t="shared" si="12"/>
        <v/>
      </c>
      <c r="W37" s="234"/>
      <c r="X37" s="233" t="str">
        <f t="shared" si="13"/>
        <v/>
      </c>
      <c r="Y37" s="256"/>
      <c r="AD37" s="49"/>
      <c r="AE37" s="49"/>
      <c r="AF37" s="49"/>
    </row>
    <row r="38" spans="2:41" s="2" customFormat="1" ht="21.95" customHeight="1">
      <c r="J38" s="248"/>
      <c r="K38" s="249"/>
      <c r="L38" s="250"/>
      <c r="M38" s="251"/>
      <c r="N38" s="250"/>
      <c r="O38" s="251"/>
      <c r="P38" s="252" t="str">
        <f>IF(L38="","",L38-N38)</f>
        <v/>
      </c>
      <c r="Q38" s="253"/>
      <c r="R38" s="254"/>
      <c r="S38" s="254"/>
      <c r="T38" s="235" t="str">
        <f t="shared" si="11"/>
        <v/>
      </c>
      <c r="U38" s="235"/>
      <c r="V38" s="233" t="str">
        <f t="shared" si="12"/>
        <v/>
      </c>
      <c r="W38" s="234"/>
      <c r="X38" s="235" t="str">
        <f t="shared" si="13"/>
        <v/>
      </c>
      <c r="Y38" s="236"/>
      <c r="AD38" s="49"/>
      <c r="AE38" s="49"/>
      <c r="AF38" s="49"/>
    </row>
    <row r="39" spans="2:41" s="2" customFormat="1" ht="21.95" customHeight="1" thickBot="1">
      <c r="J39" s="237"/>
      <c r="K39" s="238"/>
      <c r="L39" s="239"/>
      <c r="M39" s="240"/>
      <c r="N39" s="239"/>
      <c r="O39" s="240"/>
      <c r="P39" s="241" t="str">
        <f>IF(L39="","",L39-N39)</f>
        <v/>
      </c>
      <c r="Q39" s="242"/>
      <c r="R39" s="243"/>
      <c r="S39" s="243"/>
      <c r="T39" s="244" t="str">
        <f t="shared" si="11"/>
        <v/>
      </c>
      <c r="U39" s="244"/>
      <c r="V39" s="245" t="str">
        <f t="shared" si="12"/>
        <v/>
      </c>
      <c r="W39" s="246"/>
      <c r="X39" s="244" t="str">
        <f t="shared" si="13"/>
        <v/>
      </c>
      <c r="Y39" s="247"/>
      <c r="AD39" s="49"/>
      <c r="AE39" s="49"/>
      <c r="AF39" s="49"/>
    </row>
    <row r="40" spans="2:41" s="2" customFormat="1" ht="21.95" customHeight="1" thickBot="1">
      <c r="J40" s="218" t="s">
        <v>212</v>
      </c>
      <c r="K40" s="219"/>
      <c r="L40" s="219"/>
      <c r="M40" s="219"/>
      <c r="N40" s="219"/>
      <c r="O40" s="219"/>
      <c r="P40" s="219"/>
      <c r="Q40" s="219"/>
      <c r="R40" s="219"/>
      <c r="S40" s="219"/>
      <c r="T40" s="220">
        <f>SUM(T35:U39)</f>
        <v>0</v>
      </c>
      <c r="U40" s="220"/>
      <c r="V40" s="220">
        <f>IF(共通条件・結果!AA7="８地域","-",SUM(V35:W39))</f>
        <v>0</v>
      </c>
      <c r="W40" s="220"/>
      <c r="X40" s="220">
        <f>SUM(X35:Y39)</f>
        <v>0</v>
      </c>
      <c r="Y40" s="221"/>
    </row>
    <row r="41" spans="2:41" s="2" customFormat="1" ht="12">
      <c r="J41" s="74" t="s">
        <v>168</v>
      </c>
    </row>
    <row r="42" spans="2:41" s="2" customFormat="1" ht="21.95" customHeight="1" thickBot="1">
      <c r="B42" s="4" t="s">
        <v>213</v>
      </c>
    </row>
    <row r="43" spans="2:41" s="2" customFormat="1" ht="21.95" customHeight="1">
      <c r="B43" s="222" t="s">
        <v>196</v>
      </c>
      <c r="C43" s="223"/>
      <c r="D43" s="149" t="s">
        <v>37</v>
      </c>
      <c r="E43" s="150"/>
      <c r="F43" s="150"/>
      <c r="G43" s="150"/>
      <c r="H43" s="150"/>
      <c r="I43" s="150"/>
      <c r="J43" s="151"/>
      <c r="K43" s="68"/>
      <c r="L43" s="228">
        <f>Q43+U43+Y43</f>
        <v>0</v>
      </c>
      <c r="M43" s="228"/>
      <c r="N43" s="228"/>
      <c r="O43" s="68" t="s">
        <v>22</v>
      </c>
      <c r="P43" s="11" t="s">
        <v>21</v>
      </c>
      <c r="Q43" s="229">
        <f>D8*F8+D9*F9+D10*F10+D11*F11+D12*F12+D13*F13+D14*F14+D15*F15+D16*F16+D17*F17+D18*F18+D19*F19</f>
        <v>0</v>
      </c>
      <c r="R43" s="229"/>
      <c r="S43" s="75" t="s">
        <v>23</v>
      </c>
      <c r="T43" s="75" t="s">
        <v>20</v>
      </c>
      <c r="U43" s="230">
        <f>N26*P26+N27*P27+N28*P28</f>
        <v>0</v>
      </c>
      <c r="V43" s="230"/>
      <c r="W43" s="75" t="s">
        <v>23</v>
      </c>
      <c r="X43" s="75" t="s">
        <v>1</v>
      </c>
      <c r="Y43" s="232">
        <f>SUM(P35:Q39)</f>
        <v>0</v>
      </c>
      <c r="Z43" s="232"/>
      <c r="AA43" s="76" t="s">
        <v>17</v>
      </c>
    </row>
    <row r="44" spans="2:41" s="2" customFormat="1" ht="21.95" customHeight="1">
      <c r="B44" s="224"/>
      <c r="C44" s="225"/>
      <c r="D44" s="154" t="s">
        <v>47</v>
      </c>
      <c r="E44" s="155"/>
      <c r="F44" s="155"/>
      <c r="G44" s="155"/>
      <c r="H44" s="155"/>
      <c r="I44" s="155"/>
      <c r="J44" s="156"/>
      <c r="K44" s="71"/>
      <c r="L44" s="71"/>
      <c r="M44" s="71"/>
      <c r="N44" s="71"/>
      <c r="O44" s="71"/>
      <c r="P44" s="71"/>
      <c r="Q44" s="71"/>
      <c r="R44" s="71"/>
      <c r="S44" s="71"/>
      <c r="T44" s="71"/>
      <c r="U44" s="71"/>
      <c r="V44" s="71"/>
      <c r="W44" s="215">
        <f>V20+V29+T40</f>
        <v>0</v>
      </c>
      <c r="X44" s="215"/>
      <c r="Y44" s="215"/>
      <c r="Z44" s="216" t="s">
        <v>126</v>
      </c>
      <c r="AA44" s="217"/>
    </row>
    <row r="45" spans="2:41" s="2" customFormat="1" ht="21.95" customHeight="1">
      <c r="B45" s="224"/>
      <c r="C45" s="225"/>
      <c r="D45" s="154" t="s">
        <v>48</v>
      </c>
      <c r="E45" s="155"/>
      <c r="F45" s="155"/>
      <c r="G45" s="155"/>
      <c r="H45" s="155"/>
      <c r="I45" s="155"/>
      <c r="J45" s="156"/>
      <c r="K45" s="71"/>
      <c r="L45" s="71"/>
      <c r="M45" s="71"/>
      <c r="N45" s="71"/>
      <c r="O45" s="71"/>
      <c r="P45" s="71"/>
      <c r="Q45" s="71"/>
      <c r="R45" s="71"/>
      <c r="S45" s="71"/>
      <c r="T45" s="71"/>
      <c r="U45" s="71"/>
      <c r="V45" s="71"/>
      <c r="W45" s="215">
        <f>IF(共通条件・結果!AA7="８地域","-",$X$20+$X$29+$V$40)</f>
        <v>0</v>
      </c>
      <c r="X45" s="215"/>
      <c r="Y45" s="215"/>
      <c r="Z45" s="216" t="s">
        <v>126</v>
      </c>
      <c r="AA45" s="217"/>
    </row>
    <row r="46" spans="2:41" s="2" customFormat="1" ht="21.95" customHeight="1" thickBot="1">
      <c r="B46" s="226"/>
      <c r="C46" s="227"/>
      <c r="D46" s="142" t="s">
        <v>18</v>
      </c>
      <c r="E46" s="143"/>
      <c r="F46" s="143"/>
      <c r="G46" s="143"/>
      <c r="H46" s="143"/>
      <c r="I46" s="143"/>
      <c r="J46" s="144"/>
      <c r="K46" s="69"/>
      <c r="L46" s="69"/>
      <c r="M46" s="69"/>
      <c r="N46" s="69"/>
      <c r="O46" s="69"/>
      <c r="P46" s="69"/>
      <c r="Q46" s="69"/>
      <c r="R46" s="69"/>
      <c r="S46" s="69"/>
      <c r="T46" s="69"/>
      <c r="U46" s="69"/>
      <c r="V46" s="69"/>
      <c r="W46" s="255">
        <f>Z20+Z29+X40</f>
        <v>0</v>
      </c>
      <c r="X46" s="255"/>
      <c r="Y46" s="255"/>
      <c r="Z46" s="70" t="s">
        <v>19</v>
      </c>
      <c r="AA46" s="77"/>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Y/oXpakKqChxIB2cnGP4jw8wclg/vB8Ubf/uSuDfs6mFTMBrOQUiYkXgap6Ws+QBaRsjJfLwvrMjJ83+JdDnlw==" saltValue="fT2yOMhPX5k725We3ploMQ==" spinCount="100000"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Y43:Z43">
    <cfRule type="expression" dxfId="72" priority="23" stopIfTrue="1">
      <formula>$Y$43=0</formula>
    </cfRule>
  </conditionalFormatting>
  <conditionalFormatting sqref="Q43:R43">
    <cfRule type="expression" dxfId="71" priority="22" stopIfTrue="1">
      <formula>$Q$43=0</formula>
    </cfRule>
  </conditionalFormatting>
  <conditionalFormatting sqref="U43:V43">
    <cfRule type="expression" dxfId="70" priority="21" stopIfTrue="1">
      <formula>$U$43=0</formula>
    </cfRule>
  </conditionalFormatting>
  <conditionalFormatting sqref="L43:N43">
    <cfRule type="expression" dxfId="69" priority="20" stopIfTrue="1">
      <formula>$L$43=0</formula>
    </cfRule>
  </conditionalFormatting>
  <conditionalFormatting sqref="X8:Y8">
    <cfRule type="expression" dxfId="68" priority="18" stopIfTrue="1">
      <formula>#VALUE!</formula>
    </cfRule>
    <cfRule type="expression" dxfId="67" priority="19" stopIfTrue="1">
      <formula>#VALUE!</formula>
    </cfRule>
  </conditionalFormatting>
  <conditionalFormatting sqref="X19:Y19">
    <cfRule type="expression" dxfId="66" priority="17" stopIfTrue="1">
      <formula>#VALUE!</formula>
    </cfRule>
  </conditionalFormatting>
  <conditionalFormatting sqref="X8:Y8">
    <cfRule type="expression" dxfId="65" priority="15" stopIfTrue="1">
      <formula>#VALUE!</formula>
    </cfRule>
    <cfRule type="expression" dxfId="64" priority="16" stopIfTrue="1">
      <formula>#VALUE!</formula>
    </cfRule>
  </conditionalFormatting>
  <conditionalFormatting sqref="X19:Y19">
    <cfRule type="expression" dxfId="63" priority="14" stopIfTrue="1">
      <formula>#VALUE!</formula>
    </cfRule>
  </conditionalFormatting>
  <conditionalFormatting sqref="P8:U8">
    <cfRule type="expression" dxfId="62" priority="13" stopIfTrue="1">
      <formula>$AG$8=TRUE</formula>
    </cfRule>
  </conditionalFormatting>
  <conditionalFormatting sqref="P15:U15">
    <cfRule type="expression" dxfId="61" priority="12" stopIfTrue="1">
      <formula>$AG$15=TRUE</formula>
    </cfRule>
  </conditionalFormatting>
  <conditionalFormatting sqref="P16:U16">
    <cfRule type="expression" dxfId="60" priority="11" stopIfTrue="1">
      <formula>$AG$16=TRUE</formula>
    </cfRule>
  </conditionalFormatting>
  <conditionalFormatting sqref="P17:U17">
    <cfRule type="expression" dxfId="59" priority="10" stopIfTrue="1">
      <formula>$AG$17=TRUE</formula>
    </cfRule>
  </conditionalFormatting>
  <conditionalFormatting sqref="P18:U18">
    <cfRule type="expression" dxfId="58" priority="9" stopIfTrue="1">
      <formula>$AG$18=TRUE</formula>
    </cfRule>
  </conditionalFormatting>
  <conditionalFormatting sqref="P19:U19">
    <cfRule type="expression" dxfId="57" priority="8" stopIfTrue="1">
      <formula>$AG$19=TRUE</formula>
    </cfRule>
  </conditionalFormatting>
  <conditionalFormatting sqref="P10:U10">
    <cfRule type="expression" dxfId="56" priority="7" stopIfTrue="1">
      <formula>$AG$10=TRUE</formula>
    </cfRule>
  </conditionalFormatting>
  <conditionalFormatting sqref="P11:U11">
    <cfRule type="expression" dxfId="55" priority="6" stopIfTrue="1">
      <formula>$AG$11=TRUE</formula>
    </cfRule>
  </conditionalFormatting>
  <conditionalFormatting sqref="P14:U14">
    <cfRule type="expression" dxfId="54" priority="5" stopIfTrue="1">
      <formula>$AG$14=TRUE</formula>
    </cfRule>
  </conditionalFormatting>
  <conditionalFormatting sqref="P9:U9">
    <cfRule type="expression" dxfId="53" priority="4" stopIfTrue="1">
      <formula>$AG$9=TRUE</formula>
    </cfRule>
  </conditionalFormatting>
  <conditionalFormatting sqref="P12:U12">
    <cfRule type="expression" dxfId="52" priority="3">
      <formula>$AG$12=TRUE</formula>
    </cfRule>
  </conditionalFormatting>
  <conditionalFormatting sqref="P13:U13">
    <cfRule type="expression" dxfId="51" priority="2">
      <formula>$AG$13=TRUE</formula>
    </cfRule>
  </conditionalFormatting>
  <dataValidations count="1">
    <dataValidation type="list" allowBlank="1" showInputMessage="1" showErrorMessage="1" sqref="M14:M19 L8:L19 M8:M11 T26:T28 U26 U28" xr:uid="{D172DEA4-5141-4D00-8926-4B3B907A610A}">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2434-5110-4173-92D1-42683EEA2E12}">
  <sheetPr codeName="Sheet9"/>
  <dimension ref="B1:AO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9" width="3.875" customWidth="1"/>
    <col min="30" max="31" width="10.625" hidden="1" customWidth="1"/>
    <col min="32" max="32" width="2.625" hidden="1" customWidth="1"/>
    <col min="33" max="35" width="10.625" hidden="1" customWidth="1"/>
    <col min="36" max="36" width="2.625" hidden="1" customWidth="1"/>
    <col min="37" max="38" width="15.625" hidden="1" customWidth="1"/>
    <col min="39" max="39" width="2.625" hidden="1" customWidth="1"/>
    <col min="40" max="41" width="10.625" hidden="1" customWidth="1"/>
    <col min="42" max="43" width="3.625" customWidth="1"/>
    <col min="44" max="46" width="4.625" customWidth="1"/>
  </cols>
  <sheetData>
    <row r="1" spans="2:41" ht="3.95" customHeight="1"/>
    <row r="2" spans="2:41" s="1" customFormat="1" ht="30" customHeight="1">
      <c r="B2" s="379" t="s">
        <v>204</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row>
    <row r="3" spans="2:41" s="2" customFormat="1" ht="24.95" customHeight="1" thickBot="1"/>
    <row r="4" spans="2:41" s="2" customFormat="1" ht="21.95" customHeight="1" thickBot="1">
      <c r="B4" s="4" t="s">
        <v>5</v>
      </c>
      <c r="R4" s="380" t="s">
        <v>33</v>
      </c>
      <c r="S4" s="381"/>
      <c r="T4" s="381"/>
      <c r="U4" s="382"/>
      <c r="V4" s="383"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W4" s="384"/>
      <c r="X4" s="383"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Y4" s="384"/>
    </row>
    <row r="5" spans="2:41" s="2" customFormat="1" ht="21.95" customHeight="1">
      <c r="B5" s="385" t="s">
        <v>6</v>
      </c>
      <c r="C5" s="285"/>
      <c r="D5" s="285" t="s">
        <v>153</v>
      </c>
      <c r="E5" s="285"/>
      <c r="F5" s="285"/>
      <c r="G5" s="285"/>
      <c r="H5" s="284" t="s">
        <v>154</v>
      </c>
      <c r="I5" s="285"/>
      <c r="J5" s="284" t="s">
        <v>65</v>
      </c>
      <c r="K5" s="285"/>
      <c r="L5" s="284" t="s">
        <v>9</v>
      </c>
      <c r="M5" s="285"/>
      <c r="N5" s="388" t="s">
        <v>46</v>
      </c>
      <c r="O5" s="232"/>
      <c r="P5" s="232"/>
      <c r="Q5" s="232"/>
      <c r="R5" s="232"/>
      <c r="S5" s="232"/>
      <c r="T5" s="232"/>
      <c r="U5" s="232"/>
      <c r="V5" s="284" t="s">
        <v>155</v>
      </c>
      <c r="W5" s="285"/>
      <c r="X5" s="284" t="s">
        <v>156</v>
      </c>
      <c r="Y5" s="285"/>
      <c r="Z5" s="284" t="s">
        <v>123</v>
      </c>
      <c r="AA5" s="291"/>
    </row>
    <row r="6" spans="2:41" s="2" customFormat="1" ht="21.95" customHeight="1">
      <c r="B6" s="386"/>
      <c r="C6" s="286"/>
      <c r="D6" s="367" t="s">
        <v>8</v>
      </c>
      <c r="E6" s="368"/>
      <c r="F6" s="371" t="s">
        <v>7</v>
      </c>
      <c r="G6" s="372"/>
      <c r="H6" s="286"/>
      <c r="I6" s="286"/>
      <c r="J6" s="288"/>
      <c r="K6" s="286"/>
      <c r="L6" s="288"/>
      <c r="M6" s="286"/>
      <c r="N6" s="373" t="s">
        <v>45</v>
      </c>
      <c r="O6" s="374"/>
      <c r="P6" s="376" t="s">
        <v>157</v>
      </c>
      <c r="Q6" s="377"/>
      <c r="R6" s="377"/>
      <c r="S6" s="377"/>
      <c r="T6" s="377"/>
      <c r="U6" s="378"/>
      <c r="V6" s="288"/>
      <c r="W6" s="286"/>
      <c r="X6" s="288"/>
      <c r="Y6" s="286"/>
      <c r="Z6" s="286"/>
      <c r="AA6" s="292"/>
      <c r="AD6" s="307" t="s">
        <v>49</v>
      </c>
      <c r="AE6" s="307"/>
      <c r="AF6" s="40"/>
      <c r="AG6" s="40"/>
      <c r="AH6" s="307" t="s">
        <v>12</v>
      </c>
      <c r="AI6" s="307"/>
      <c r="AJ6" s="40"/>
      <c r="AK6" s="307" t="s">
        <v>50</v>
      </c>
      <c r="AL6" s="307"/>
      <c r="AN6" s="307" t="s">
        <v>58</v>
      </c>
      <c r="AO6" s="307"/>
    </row>
    <row r="7" spans="2:41" s="2" customFormat="1" ht="21.95" customHeight="1" thickBot="1">
      <c r="B7" s="387"/>
      <c r="C7" s="287"/>
      <c r="D7" s="369"/>
      <c r="E7" s="370"/>
      <c r="F7" s="317"/>
      <c r="G7" s="271"/>
      <c r="H7" s="287"/>
      <c r="I7" s="287"/>
      <c r="J7" s="287"/>
      <c r="K7" s="287"/>
      <c r="L7" s="287"/>
      <c r="M7" s="287"/>
      <c r="N7" s="276"/>
      <c r="O7" s="375"/>
      <c r="P7" s="271" t="s">
        <v>10</v>
      </c>
      <c r="Q7" s="320"/>
      <c r="R7" s="364" t="s">
        <v>11</v>
      </c>
      <c r="S7" s="365"/>
      <c r="T7" s="271" t="s">
        <v>3</v>
      </c>
      <c r="U7" s="320"/>
      <c r="V7" s="287"/>
      <c r="W7" s="287"/>
      <c r="X7" s="287"/>
      <c r="Y7" s="287"/>
      <c r="Z7" s="287"/>
      <c r="AA7" s="293"/>
      <c r="AD7" s="40" t="s">
        <v>4</v>
      </c>
      <c r="AE7" s="40" t="s">
        <v>16</v>
      </c>
      <c r="AF7" s="40"/>
      <c r="AG7" s="40"/>
      <c r="AH7" s="40" t="s">
        <v>4</v>
      </c>
      <c r="AI7" s="40" t="s">
        <v>16</v>
      </c>
      <c r="AJ7" s="40"/>
      <c r="AK7" s="40" t="s">
        <v>4</v>
      </c>
      <c r="AL7" s="40" t="s">
        <v>16</v>
      </c>
      <c r="AN7" s="72" t="s">
        <v>56</v>
      </c>
      <c r="AO7" s="2" t="s">
        <v>54</v>
      </c>
    </row>
    <row r="8" spans="2:41" s="2" customFormat="1" ht="21.95" customHeight="1">
      <c r="B8" s="257"/>
      <c r="C8" s="363"/>
      <c r="D8" s="311"/>
      <c r="E8" s="312"/>
      <c r="F8" s="312"/>
      <c r="G8" s="313"/>
      <c r="H8" s="263"/>
      <c r="I8" s="263"/>
      <c r="J8" s="263"/>
      <c r="K8" s="263"/>
      <c r="L8" s="335"/>
      <c r="M8" s="335"/>
      <c r="N8" s="355"/>
      <c r="O8" s="356"/>
      <c r="P8" s="357"/>
      <c r="Q8" s="358"/>
      <c r="R8" s="359"/>
      <c r="S8" s="360"/>
      <c r="T8" s="361"/>
      <c r="U8" s="357"/>
      <c r="V8" s="362" t="str">
        <f>IF(D8="","",AD8)</f>
        <v/>
      </c>
      <c r="W8" s="362"/>
      <c r="X8" s="362" t="str">
        <f t="shared" ref="X8:X19" si="0">IF(D8="","",IF(ISERROR(AE8),"-",AE8))</f>
        <v/>
      </c>
      <c r="Y8" s="362"/>
      <c r="Z8" s="362" t="str">
        <f>IF(D8="","",D8*F8*AN8)</f>
        <v/>
      </c>
      <c r="AA8" s="389"/>
      <c r="AD8" s="2" t="e">
        <f>D8*F8*J8*$V$4*AH8</f>
        <v>#VALUE!</v>
      </c>
      <c r="AE8" s="2" t="e">
        <f>D8*F8*J8*$X$4*AI8</f>
        <v>#VALUE!</v>
      </c>
      <c r="AG8" s="49"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1">IF(L8="","FALSE",IF(L8="雨戸",0.1,IF(L8="ｼｬｯﾀｰ",0.1,IF(L8="障子",0.18,IF(L8="風除室",0.1)))))</f>
        <v>FALSE</v>
      </c>
    </row>
    <row r="9" spans="2:41" s="2" customFormat="1" ht="21.95" customHeight="1">
      <c r="B9" s="248"/>
      <c r="C9" s="349"/>
      <c r="D9" s="350"/>
      <c r="E9" s="351"/>
      <c r="F9" s="351"/>
      <c r="G9" s="352"/>
      <c r="H9" s="254"/>
      <c r="I9" s="254"/>
      <c r="J9" s="254"/>
      <c r="K9" s="254"/>
      <c r="L9" s="301"/>
      <c r="M9" s="301"/>
      <c r="N9" s="341"/>
      <c r="O9" s="342"/>
      <c r="P9" s="343"/>
      <c r="Q9" s="344"/>
      <c r="R9" s="345"/>
      <c r="S9" s="346"/>
      <c r="T9" s="347"/>
      <c r="U9" s="343"/>
      <c r="V9" s="235" t="str">
        <f t="shared" ref="V9:V19" si="2">IF(D9="","",AD9)</f>
        <v/>
      </c>
      <c r="W9" s="235"/>
      <c r="X9" s="235" t="str">
        <f t="shared" si="0"/>
        <v/>
      </c>
      <c r="Y9" s="235"/>
      <c r="Z9" s="235" t="str">
        <f t="shared" ref="Z9:Z19" si="3">IF(D9="","",D9*F9*AN9)</f>
        <v/>
      </c>
      <c r="AA9" s="236"/>
      <c r="AD9" s="2" t="e">
        <f t="shared" ref="AD9:AD19" si="4">D9*F9*J9*$V$4*AH9</f>
        <v>#VALUE!</v>
      </c>
      <c r="AE9" s="2" t="e">
        <f t="shared" ref="AE9:AE19" si="5">D9*F9*J9*$X$4*AI9</f>
        <v>#VALUE!</v>
      </c>
      <c r="AG9" s="49"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1"/>
        <v>FALSE</v>
      </c>
    </row>
    <row r="10" spans="2:41" s="2" customFormat="1" ht="21.95" customHeight="1">
      <c r="B10" s="248"/>
      <c r="C10" s="349"/>
      <c r="D10" s="350"/>
      <c r="E10" s="351"/>
      <c r="F10" s="351"/>
      <c r="G10" s="352"/>
      <c r="H10" s="254"/>
      <c r="I10" s="254"/>
      <c r="J10" s="254"/>
      <c r="K10" s="254"/>
      <c r="L10" s="301"/>
      <c r="M10" s="301"/>
      <c r="N10" s="341"/>
      <c r="O10" s="342"/>
      <c r="P10" s="344"/>
      <c r="Q10" s="353"/>
      <c r="R10" s="348"/>
      <c r="S10" s="353"/>
      <c r="T10" s="348"/>
      <c r="U10" s="347"/>
      <c r="V10" s="235" t="str">
        <f t="shared" si="2"/>
        <v/>
      </c>
      <c r="W10" s="235"/>
      <c r="X10" s="235" t="str">
        <f t="shared" si="0"/>
        <v/>
      </c>
      <c r="Y10" s="235"/>
      <c r="Z10" s="235" t="str">
        <f t="shared" si="3"/>
        <v/>
      </c>
      <c r="AA10" s="236"/>
      <c r="AD10" s="2" t="e">
        <f t="shared" si="4"/>
        <v>#VALUE!</v>
      </c>
      <c r="AE10" s="2" t="e">
        <f t="shared" si="5"/>
        <v>#VALUE!</v>
      </c>
      <c r="AG10" s="49" t="b">
        <v>0</v>
      </c>
      <c r="AH10" s="2" t="str">
        <f t="shared" si="6"/>
        <v>エラー</v>
      </c>
      <c r="AI10" s="2" t="str">
        <f t="shared" si="7"/>
        <v>エラー</v>
      </c>
      <c r="AK10" s="2" t="e">
        <f t="shared" si="8"/>
        <v>#DIV/0!</v>
      </c>
      <c r="AL10" s="2" t="e">
        <f t="shared" si="9"/>
        <v>#DIV/0!</v>
      </c>
      <c r="AN10" s="2">
        <f t="shared" si="10"/>
        <v>0</v>
      </c>
      <c r="AO10" s="40" t="str">
        <f t="shared" si="1"/>
        <v>FALSE</v>
      </c>
    </row>
    <row r="11" spans="2:41" s="2" customFormat="1" ht="21.95" customHeight="1">
      <c r="B11" s="248"/>
      <c r="C11" s="349"/>
      <c r="D11" s="350"/>
      <c r="E11" s="351"/>
      <c r="F11" s="351"/>
      <c r="G11" s="352"/>
      <c r="H11" s="254"/>
      <c r="I11" s="254"/>
      <c r="J11" s="254"/>
      <c r="K11" s="254"/>
      <c r="L11" s="301"/>
      <c r="M11" s="301"/>
      <c r="N11" s="341"/>
      <c r="O11" s="342"/>
      <c r="P11" s="344"/>
      <c r="Q11" s="353"/>
      <c r="R11" s="348"/>
      <c r="S11" s="353"/>
      <c r="T11" s="348"/>
      <c r="U11" s="347"/>
      <c r="V11" s="235" t="str">
        <f t="shared" si="2"/>
        <v/>
      </c>
      <c r="W11" s="235"/>
      <c r="X11" s="235" t="str">
        <f t="shared" si="0"/>
        <v/>
      </c>
      <c r="Y11" s="235"/>
      <c r="Z11" s="235" t="str">
        <f t="shared" si="3"/>
        <v/>
      </c>
      <c r="AA11" s="236"/>
      <c r="AD11" s="2" t="e">
        <f t="shared" si="4"/>
        <v>#VALUE!</v>
      </c>
      <c r="AE11" s="2" t="e">
        <f t="shared" si="5"/>
        <v>#VALUE!</v>
      </c>
      <c r="AG11" s="49" t="b">
        <v>0</v>
      </c>
      <c r="AH11" s="2" t="str">
        <f t="shared" si="6"/>
        <v>エラー</v>
      </c>
      <c r="AI11" s="2" t="str">
        <f t="shared" si="7"/>
        <v>エラー</v>
      </c>
      <c r="AK11" s="2" t="e">
        <f t="shared" si="8"/>
        <v>#DIV/0!</v>
      </c>
      <c r="AL11" s="2" t="e">
        <f t="shared" si="9"/>
        <v>#DIV/0!</v>
      </c>
      <c r="AN11" s="2">
        <f t="shared" si="10"/>
        <v>0</v>
      </c>
      <c r="AO11" s="40" t="str">
        <f t="shared" si="1"/>
        <v>FALSE</v>
      </c>
    </row>
    <row r="12" spans="2:41" s="2" customFormat="1" ht="21.95" customHeight="1">
      <c r="B12" s="248"/>
      <c r="C12" s="249"/>
      <c r="D12" s="250"/>
      <c r="E12" s="305"/>
      <c r="F12" s="306"/>
      <c r="G12" s="251"/>
      <c r="H12" s="250"/>
      <c r="I12" s="251"/>
      <c r="J12" s="250"/>
      <c r="K12" s="251"/>
      <c r="L12" s="315"/>
      <c r="M12" s="316"/>
      <c r="N12" s="341"/>
      <c r="O12" s="354"/>
      <c r="P12" s="344"/>
      <c r="Q12" s="353"/>
      <c r="R12" s="348"/>
      <c r="S12" s="353"/>
      <c r="T12" s="348"/>
      <c r="U12" s="347"/>
      <c r="V12" s="233" t="str">
        <f t="shared" si="2"/>
        <v/>
      </c>
      <c r="W12" s="234"/>
      <c r="X12" s="233" t="str">
        <f t="shared" si="0"/>
        <v/>
      </c>
      <c r="Y12" s="234"/>
      <c r="Z12" s="233" t="str">
        <f t="shared" si="3"/>
        <v/>
      </c>
      <c r="AA12" s="256"/>
      <c r="AD12" s="2" t="e">
        <f t="shared" si="4"/>
        <v>#VALUE!</v>
      </c>
      <c r="AE12" s="2" t="e">
        <f t="shared" si="5"/>
        <v>#VALUE!</v>
      </c>
      <c r="AG12" s="49" t="b">
        <v>0</v>
      </c>
      <c r="AH12" s="2" t="str">
        <f t="shared" si="6"/>
        <v>エラー</v>
      </c>
      <c r="AI12" s="2" t="str">
        <f t="shared" si="7"/>
        <v>エラー</v>
      </c>
      <c r="AK12" s="2" t="e">
        <f t="shared" si="8"/>
        <v>#DIV/0!</v>
      </c>
      <c r="AL12" s="2" t="e">
        <f t="shared" si="9"/>
        <v>#DIV/0!</v>
      </c>
      <c r="AN12" s="2">
        <f t="shared" si="10"/>
        <v>0</v>
      </c>
      <c r="AO12" s="40" t="str">
        <f t="shared" si="1"/>
        <v>FALSE</v>
      </c>
    </row>
    <row r="13" spans="2:41" s="2" customFormat="1" ht="21.95" customHeight="1">
      <c r="B13" s="248"/>
      <c r="C13" s="249"/>
      <c r="D13" s="250"/>
      <c r="E13" s="305"/>
      <c r="F13" s="306"/>
      <c r="G13" s="251"/>
      <c r="H13" s="250"/>
      <c r="I13" s="251"/>
      <c r="J13" s="250"/>
      <c r="K13" s="251"/>
      <c r="L13" s="315"/>
      <c r="M13" s="316"/>
      <c r="N13" s="341"/>
      <c r="O13" s="354"/>
      <c r="P13" s="344"/>
      <c r="Q13" s="353"/>
      <c r="R13" s="348"/>
      <c r="S13" s="353"/>
      <c r="T13" s="348"/>
      <c r="U13" s="347"/>
      <c r="V13" s="233" t="str">
        <f t="shared" si="2"/>
        <v/>
      </c>
      <c r="W13" s="234"/>
      <c r="X13" s="233" t="str">
        <f t="shared" si="0"/>
        <v/>
      </c>
      <c r="Y13" s="234"/>
      <c r="Z13" s="233" t="str">
        <f t="shared" si="3"/>
        <v/>
      </c>
      <c r="AA13" s="256"/>
      <c r="AD13" s="2" t="e">
        <f t="shared" si="4"/>
        <v>#VALUE!</v>
      </c>
      <c r="AE13" s="2" t="e">
        <f t="shared" si="5"/>
        <v>#VALUE!</v>
      </c>
      <c r="AG13" s="49" t="b">
        <v>0</v>
      </c>
      <c r="AH13" s="2" t="str">
        <f t="shared" si="6"/>
        <v>エラー</v>
      </c>
      <c r="AI13" s="2" t="str">
        <f t="shared" si="7"/>
        <v>エラー</v>
      </c>
      <c r="AK13" s="2" t="e">
        <f t="shared" si="8"/>
        <v>#DIV/0!</v>
      </c>
      <c r="AL13" s="2" t="e">
        <f t="shared" si="9"/>
        <v>#DIV/0!</v>
      </c>
      <c r="AN13" s="2">
        <f t="shared" si="10"/>
        <v>0</v>
      </c>
      <c r="AO13" s="40" t="str">
        <f t="shared" si="1"/>
        <v>FALSE</v>
      </c>
    </row>
    <row r="14" spans="2:41" s="2" customFormat="1" ht="21.95" customHeight="1">
      <c r="B14" s="248"/>
      <c r="C14" s="349"/>
      <c r="D14" s="350"/>
      <c r="E14" s="351"/>
      <c r="F14" s="351"/>
      <c r="G14" s="352"/>
      <c r="H14" s="254"/>
      <c r="I14" s="254"/>
      <c r="J14" s="254"/>
      <c r="K14" s="254"/>
      <c r="L14" s="301"/>
      <c r="M14" s="301"/>
      <c r="N14" s="341"/>
      <c r="O14" s="342"/>
      <c r="P14" s="344"/>
      <c r="Q14" s="353"/>
      <c r="R14" s="348"/>
      <c r="S14" s="353"/>
      <c r="T14" s="348"/>
      <c r="U14" s="347"/>
      <c r="V14" s="235" t="str">
        <f t="shared" si="2"/>
        <v/>
      </c>
      <c r="W14" s="235"/>
      <c r="X14" s="235" t="str">
        <f t="shared" si="0"/>
        <v/>
      </c>
      <c r="Y14" s="235"/>
      <c r="Z14" s="235" t="str">
        <f t="shared" si="3"/>
        <v/>
      </c>
      <c r="AA14" s="236"/>
      <c r="AD14" s="2" t="e">
        <f t="shared" si="4"/>
        <v>#VALUE!</v>
      </c>
      <c r="AE14" s="2" t="e">
        <f t="shared" si="5"/>
        <v>#VALUE!</v>
      </c>
      <c r="AG14" s="49" t="b">
        <v>0</v>
      </c>
      <c r="AH14" s="2" t="str">
        <f t="shared" si="6"/>
        <v>エラー</v>
      </c>
      <c r="AI14" s="2" t="str">
        <f t="shared" si="7"/>
        <v>エラー</v>
      </c>
      <c r="AK14" s="2" t="e">
        <f t="shared" si="8"/>
        <v>#DIV/0!</v>
      </c>
      <c r="AL14" s="2" t="e">
        <f t="shared" si="9"/>
        <v>#DIV/0!</v>
      </c>
      <c r="AN14" s="2">
        <f t="shared" si="10"/>
        <v>0</v>
      </c>
      <c r="AO14" s="40" t="str">
        <f t="shared" si="1"/>
        <v>FALSE</v>
      </c>
    </row>
    <row r="15" spans="2:41" s="2" customFormat="1" ht="21.95" customHeight="1">
      <c r="B15" s="248"/>
      <c r="C15" s="349"/>
      <c r="D15" s="350"/>
      <c r="E15" s="351"/>
      <c r="F15" s="351"/>
      <c r="G15" s="352"/>
      <c r="H15" s="254"/>
      <c r="I15" s="254"/>
      <c r="J15" s="254"/>
      <c r="K15" s="254"/>
      <c r="L15" s="301"/>
      <c r="M15" s="301"/>
      <c r="N15" s="341"/>
      <c r="O15" s="342"/>
      <c r="P15" s="344"/>
      <c r="Q15" s="353"/>
      <c r="R15" s="348"/>
      <c r="S15" s="353"/>
      <c r="T15" s="348"/>
      <c r="U15" s="347"/>
      <c r="V15" s="233" t="str">
        <f t="shared" si="2"/>
        <v/>
      </c>
      <c r="W15" s="234"/>
      <c r="X15" s="235" t="str">
        <f t="shared" si="0"/>
        <v/>
      </c>
      <c r="Y15" s="235"/>
      <c r="Z15" s="235" t="str">
        <f t="shared" si="3"/>
        <v/>
      </c>
      <c r="AA15" s="236"/>
      <c r="AD15" s="2" t="e">
        <f t="shared" si="4"/>
        <v>#VALUE!</v>
      </c>
      <c r="AE15" s="2" t="e">
        <f t="shared" si="5"/>
        <v>#VALUE!</v>
      </c>
      <c r="AG15" s="49" t="b">
        <v>0</v>
      </c>
      <c r="AH15" s="2" t="str">
        <f t="shared" si="6"/>
        <v>エラー</v>
      </c>
      <c r="AI15" s="2" t="str">
        <f t="shared" si="7"/>
        <v>エラー</v>
      </c>
      <c r="AK15" s="2" t="e">
        <f t="shared" si="8"/>
        <v>#DIV/0!</v>
      </c>
      <c r="AL15" s="2" t="e">
        <f t="shared" si="9"/>
        <v>#DIV/0!</v>
      </c>
      <c r="AN15" s="2">
        <f t="shared" si="10"/>
        <v>0</v>
      </c>
      <c r="AO15" s="40" t="str">
        <f t="shared" si="1"/>
        <v>FALSE</v>
      </c>
    </row>
    <row r="16" spans="2:41" s="2" customFormat="1" ht="21.95" customHeight="1">
      <c r="B16" s="248"/>
      <c r="C16" s="349"/>
      <c r="D16" s="350"/>
      <c r="E16" s="351"/>
      <c r="F16" s="351"/>
      <c r="G16" s="352"/>
      <c r="H16" s="254"/>
      <c r="I16" s="254"/>
      <c r="J16" s="254"/>
      <c r="K16" s="254"/>
      <c r="L16" s="301"/>
      <c r="M16" s="301"/>
      <c r="N16" s="341"/>
      <c r="O16" s="342"/>
      <c r="P16" s="344"/>
      <c r="Q16" s="353"/>
      <c r="R16" s="348"/>
      <c r="S16" s="353"/>
      <c r="T16" s="348"/>
      <c r="U16" s="347"/>
      <c r="V16" s="233" t="str">
        <f t="shared" si="2"/>
        <v/>
      </c>
      <c r="W16" s="234"/>
      <c r="X16" s="235" t="str">
        <f t="shared" si="0"/>
        <v/>
      </c>
      <c r="Y16" s="235"/>
      <c r="Z16" s="235" t="str">
        <f t="shared" si="3"/>
        <v/>
      </c>
      <c r="AA16" s="236"/>
      <c r="AD16" s="2" t="e">
        <f t="shared" si="4"/>
        <v>#VALUE!</v>
      </c>
      <c r="AE16" s="2" t="e">
        <f t="shared" si="5"/>
        <v>#VALUE!</v>
      </c>
      <c r="AG16" s="49" t="b">
        <v>0</v>
      </c>
      <c r="AH16" s="2" t="str">
        <f t="shared" si="6"/>
        <v>エラー</v>
      </c>
      <c r="AI16" s="2" t="str">
        <f t="shared" si="7"/>
        <v>エラー</v>
      </c>
      <c r="AK16" s="2" t="e">
        <f t="shared" si="8"/>
        <v>#DIV/0!</v>
      </c>
      <c r="AL16" s="2" t="e">
        <f t="shared" si="9"/>
        <v>#DIV/0!</v>
      </c>
      <c r="AN16" s="2">
        <f t="shared" si="10"/>
        <v>0</v>
      </c>
      <c r="AO16" s="40" t="str">
        <f t="shared" si="1"/>
        <v>FALSE</v>
      </c>
    </row>
    <row r="17" spans="2:41" s="2" customFormat="1" ht="21.95" customHeight="1">
      <c r="B17" s="248"/>
      <c r="C17" s="349"/>
      <c r="D17" s="350"/>
      <c r="E17" s="351"/>
      <c r="F17" s="351"/>
      <c r="G17" s="352"/>
      <c r="H17" s="254"/>
      <c r="I17" s="254"/>
      <c r="J17" s="254"/>
      <c r="K17" s="254"/>
      <c r="L17" s="301"/>
      <c r="M17" s="301"/>
      <c r="N17" s="341"/>
      <c r="O17" s="342"/>
      <c r="P17" s="343"/>
      <c r="Q17" s="344"/>
      <c r="R17" s="348"/>
      <c r="S17" s="353"/>
      <c r="T17" s="348"/>
      <c r="U17" s="347"/>
      <c r="V17" s="233" t="str">
        <f t="shared" si="2"/>
        <v/>
      </c>
      <c r="W17" s="234"/>
      <c r="X17" s="235" t="str">
        <f t="shared" si="0"/>
        <v/>
      </c>
      <c r="Y17" s="235"/>
      <c r="Z17" s="235" t="str">
        <f t="shared" si="3"/>
        <v/>
      </c>
      <c r="AA17" s="236"/>
      <c r="AD17" s="2" t="e">
        <f t="shared" si="4"/>
        <v>#VALUE!</v>
      </c>
      <c r="AE17" s="2" t="e">
        <f t="shared" si="5"/>
        <v>#VALUE!</v>
      </c>
      <c r="AG17" s="49" t="b">
        <v>0</v>
      </c>
      <c r="AH17" s="2" t="str">
        <f t="shared" si="6"/>
        <v>エラー</v>
      </c>
      <c r="AI17" s="2" t="str">
        <f t="shared" si="7"/>
        <v>エラー</v>
      </c>
      <c r="AK17" s="2" t="e">
        <f t="shared" si="8"/>
        <v>#DIV/0!</v>
      </c>
      <c r="AL17" s="2" t="e">
        <f t="shared" si="9"/>
        <v>#DIV/0!</v>
      </c>
      <c r="AN17" s="2">
        <f t="shared" si="10"/>
        <v>0</v>
      </c>
      <c r="AO17" s="40" t="str">
        <f t="shared" si="1"/>
        <v>FALSE</v>
      </c>
    </row>
    <row r="18" spans="2:41" s="2" customFormat="1" ht="21.95" customHeight="1">
      <c r="B18" s="248"/>
      <c r="C18" s="349"/>
      <c r="D18" s="350"/>
      <c r="E18" s="351"/>
      <c r="F18" s="351"/>
      <c r="G18" s="352"/>
      <c r="H18" s="254"/>
      <c r="I18" s="254"/>
      <c r="J18" s="254"/>
      <c r="K18" s="254"/>
      <c r="L18" s="301"/>
      <c r="M18" s="301"/>
      <c r="N18" s="341"/>
      <c r="O18" s="342"/>
      <c r="P18" s="343"/>
      <c r="Q18" s="344"/>
      <c r="R18" s="345"/>
      <c r="S18" s="346"/>
      <c r="T18" s="347"/>
      <c r="U18" s="343"/>
      <c r="V18" s="233" t="str">
        <f t="shared" si="2"/>
        <v/>
      </c>
      <c r="W18" s="234"/>
      <c r="X18" s="235" t="str">
        <f t="shared" si="0"/>
        <v/>
      </c>
      <c r="Y18" s="235"/>
      <c r="Z18" s="235" t="str">
        <f t="shared" si="3"/>
        <v/>
      </c>
      <c r="AA18" s="236"/>
      <c r="AD18" s="2" t="e">
        <f t="shared" si="4"/>
        <v>#VALUE!</v>
      </c>
      <c r="AE18" s="2" t="e">
        <f t="shared" si="5"/>
        <v>#VALUE!</v>
      </c>
      <c r="AG18" s="49" t="b">
        <v>0</v>
      </c>
      <c r="AH18" s="2" t="str">
        <f t="shared" si="6"/>
        <v>エラー</v>
      </c>
      <c r="AI18" s="2" t="str">
        <f t="shared" si="7"/>
        <v>エラー</v>
      </c>
      <c r="AK18" s="2" t="e">
        <f t="shared" si="8"/>
        <v>#DIV/0!</v>
      </c>
      <c r="AL18" s="2" t="e">
        <f t="shared" si="9"/>
        <v>#DIV/0!</v>
      </c>
      <c r="AN18" s="2">
        <f t="shared" si="10"/>
        <v>0</v>
      </c>
      <c r="AO18" s="40" t="str">
        <f t="shared" si="1"/>
        <v>FALSE</v>
      </c>
    </row>
    <row r="19" spans="2:41" s="2" customFormat="1" ht="21.95" customHeight="1" thickBot="1">
      <c r="B19" s="237"/>
      <c r="C19" s="334"/>
      <c r="D19" s="297"/>
      <c r="E19" s="298"/>
      <c r="F19" s="298"/>
      <c r="G19" s="299"/>
      <c r="H19" s="300"/>
      <c r="I19" s="300"/>
      <c r="J19" s="300"/>
      <c r="K19" s="300"/>
      <c r="L19" s="335"/>
      <c r="M19" s="335"/>
      <c r="N19" s="336"/>
      <c r="O19" s="337"/>
      <c r="P19" s="333"/>
      <c r="Q19" s="338"/>
      <c r="R19" s="339"/>
      <c r="S19" s="340"/>
      <c r="T19" s="332"/>
      <c r="U19" s="333"/>
      <c r="V19" s="233" t="str">
        <f t="shared" si="2"/>
        <v/>
      </c>
      <c r="W19" s="234"/>
      <c r="X19" s="235" t="str">
        <f t="shared" si="0"/>
        <v/>
      </c>
      <c r="Y19" s="235"/>
      <c r="Z19" s="244" t="str">
        <f t="shared" si="3"/>
        <v/>
      </c>
      <c r="AA19" s="247"/>
      <c r="AD19" s="2" t="e">
        <f t="shared" si="4"/>
        <v>#VALUE!</v>
      </c>
      <c r="AE19" s="2" t="e">
        <f t="shared" si="5"/>
        <v>#VALUE!</v>
      </c>
      <c r="AG19" s="49" t="b">
        <v>0</v>
      </c>
      <c r="AH19" s="2" t="str">
        <f t="shared" si="6"/>
        <v>エラー</v>
      </c>
      <c r="AI19" s="2" t="str">
        <f t="shared" si="7"/>
        <v>エラー</v>
      </c>
      <c r="AK19" s="2" t="e">
        <f t="shared" si="8"/>
        <v>#DIV/0!</v>
      </c>
      <c r="AL19" s="2" t="e">
        <f t="shared" si="9"/>
        <v>#DIV/0!</v>
      </c>
      <c r="AN19" s="2">
        <f t="shared" si="10"/>
        <v>0</v>
      </c>
      <c r="AO19" s="40" t="str">
        <f t="shared" si="1"/>
        <v>FALSE</v>
      </c>
    </row>
    <row r="20" spans="2:41" s="2" customFormat="1" ht="21.95" customHeight="1" thickBot="1">
      <c r="B20" s="218" t="s">
        <v>205</v>
      </c>
      <c r="C20" s="219"/>
      <c r="D20" s="219"/>
      <c r="E20" s="219"/>
      <c r="F20" s="219"/>
      <c r="G20" s="219"/>
      <c r="H20" s="219"/>
      <c r="I20" s="219"/>
      <c r="J20" s="219"/>
      <c r="K20" s="219"/>
      <c r="L20" s="219"/>
      <c r="M20" s="219"/>
      <c r="N20" s="219"/>
      <c r="O20" s="219"/>
      <c r="P20" s="219"/>
      <c r="Q20" s="219"/>
      <c r="R20" s="219"/>
      <c r="S20" s="219"/>
      <c r="T20" s="219"/>
      <c r="U20" s="219"/>
      <c r="V20" s="220">
        <f>SUM(V8:W19)</f>
        <v>0</v>
      </c>
      <c r="W20" s="220"/>
      <c r="X20" s="220">
        <f>IF(共通条件・結果!AA7="８地域","-",SUM(X8:Y19))</f>
        <v>0</v>
      </c>
      <c r="Y20" s="220"/>
      <c r="Z20" s="220">
        <f>SUM(Z8:AA19)</f>
        <v>0</v>
      </c>
      <c r="AA20" s="221"/>
    </row>
    <row r="21" spans="2:41" s="2" customFormat="1" ht="9.9499999999999993" customHeight="1">
      <c r="AN21" s="307"/>
      <c r="AO21" s="307"/>
    </row>
    <row r="22" spans="2:41" s="2" customFormat="1" ht="21.95" customHeight="1" thickBot="1">
      <c r="E22" s="4"/>
      <c r="J22" s="4" t="s">
        <v>13</v>
      </c>
    </row>
    <row r="23" spans="2:41" s="2" customFormat="1" ht="21.95" customHeight="1">
      <c r="J23" s="266" t="s">
        <v>14</v>
      </c>
      <c r="K23" s="183"/>
      <c r="L23" s="183"/>
      <c r="M23" s="267"/>
      <c r="N23" s="322" t="s">
        <v>153</v>
      </c>
      <c r="O23" s="183"/>
      <c r="P23" s="183"/>
      <c r="Q23" s="267"/>
      <c r="R23" s="284" t="s">
        <v>154</v>
      </c>
      <c r="S23" s="285"/>
      <c r="T23" s="324" t="s">
        <v>9</v>
      </c>
      <c r="U23" s="325"/>
      <c r="V23" s="272" t="s">
        <v>158</v>
      </c>
      <c r="W23" s="273"/>
      <c r="X23" s="272" t="s">
        <v>156</v>
      </c>
      <c r="Y23" s="273"/>
      <c r="Z23" s="272" t="s">
        <v>123</v>
      </c>
      <c r="AA23" s="184"/>
      <c r="AN23" s="307" t="s">
        <v>58</v>
      </c>
      <c r="AO23" s="307"/>
    </row>
    <row r="24" spans="2:41" s="2" customFormat="1" ht="21.95" customHeight="1">
      <c r="J24" s="268"/>
      <c r="K24" s="307"/>
      <c r="L24" s="307"/>
      <c r="M24" s="269"/>
      <c r="N24" s="195"/>
      <c r="O24" s="196"/>
      <c r="P24" s="196"/>
      <c r="Q24" s="323"/>
      <c r="R24" s="288"/>
      <c r="S24" s="286"/>
      <c r="T24" s="326"/>
      <c r="U24" s="327"/>
      <c r="V24" s="274"/>
      <c r="W24" s="275"/>
      <c r="X24" s="274"/>
      <c r="Y24" s="275"/>
      <c r="Z24" s="318"/>
      <c r="AA24" s="319"/>
      <c r="AN24" s="40"/>
      <c r="AO24" s="40"/>
    </row>
    <row r="25" spans="2:41" s="2" customFormat="1" ht="21.95" customHeight="1" thickBot="1">
      <c r="J25" s="270"/>
      <c r="K25" s="317"/>
      <c r="L25" s="317"/>
      <c r="M25" s="271"/>
      <c r="N25" s="329" t="s">
        <v>8</v>
      </c>
      <c r="O25" s="330"/>
      <c r="P25" s="331" t="s">
        <v>7</v>
      </c>
      <c r="Q25" s="287"/>
      <c r="R25" s="287"/>
      <c r="S25" s="287"/>
      <c r="T25" s="328"/>
      <c r="U25" s="328"/>
      <c r="V25" s="276"/>
      <c r="W25" s="277"/>
      <c r="X25" s="276"/>
      <c r="Y25" s="277"/>
      <c r="Z25" s="320"/>
      <c r="AA25" s="321"/>
      <c r="AN25" s="72" t="s">
        <v>56</v>
      </c>
      <c r="AO25" s="2" t="s">
        <v>54</v>
      </c>
    </row>
    <row r="26" spans="2:41" s="2" customFormat="1" ht="21.95" customHeight="1">
      <c r="D26" s="89"/>
      <c r="E26" s="89"/>
      <c r="J26" s="308"/>
      <c r="K26" s="309"/>
      <c r="L26" s="309"/>
      <c r="M26" s="310"/>
      <c r="N26" s="311"/>
      <c r="O26" s="312"/>
      <c r="P26" s="312"/>
      <c r="Q26" s="313"/>
      <c r="R26" s="263"/>
      <c r="S26" s="263"/>
      <c r="T26" s="314"/>
      <c r="U26" s="314"/>
      <c r="V26" s="264" t="str">
        <f>IF(N26="","",N26*P26*R26*0.034*$V$4)</f>
        <v/>
      </c>
      <c r="W26" s="264"/>
      <c r="X26" s="264" t="str">
        <f>IF(N26="","",IF(ISERROR(N26*P26*R26*0.034*$X$4),"-",N26*P26*R26*0.034*$X$4))</f>
        <v/>
      </c>
      <c r="Y26" s="264"/>
      <c r="Z26" s="264" t="str">
        <f>IF(N26="","",N26*P26*AN26)</f>
        <v/>
      </c>
      <c r="AA26" s="265"/>
      <c r="AD26" s="49"/>
      <c r="AN26" s="2">
        <f>IF(AO26="FALSE",R26,IF(T26="風除室",1/((1/R26)+0.1),0.5*R26+0.5*(1/((1/R26)+AO26))))</f>
        <v>0</v>
      </c>
      <c r="AO26" s="40" t="str">
        <f>IF(T26="","FALSE",IF(T26="雨戸",0.1,IF(T26="ｼｬｯﾀｰ",0.1,IF(T26="障子",0.18,IF(T26="風除室",0.1)))))</f>
        <v>FALSE</v>
      </c>
    </row>
    <row r="27" spans="2:41" s="2" customFormat="1" ht="21.95" customHeight="1">
      <c r="D27" s="89"/>
      <c r="E27" s="89"/>
      <c r="J27" s="302"/>
      <c r="K27" s="303"/>
      <c r="L27" s="303"/>
      <c r="M27" s="304"/>
      <c r="N27" s="250"/>
      <c r="O27" s="305"/>
      <c r="P27" s="306"/>
      <c r="Q27" s="251"/>
      <c r="R27" s="250"/>
      <c r="S27" s="251"/>
      <c r="T27" s="315"/>
      <c r="U27" s="316"/>
      <c r="V27" s="233" t="str">
        <f>IF(N27="","",N27*P27*R27*0.034*$V$4)</f>
        <v/>
      </c>
      <c r="W27" s="234"/>
      <c r="X27" s="233" t="str">
        <f>IF(N27="","",IF(ISERROR(N27*P27*R27*0.034*$X$4),"-",N27*P27*R27*0.034*$X$4))</f>
        <v/>
      </c>
      <c r="Y27" s="234"/>
      <c r="Z27" s="233" t="str">
        <f>IF(N27="","",N27*P27*AN27)</f>
        <v/>
      </c>
      <c r="AA27" s="256"/>
      <c r="AD27" s="49"/>
      <c r="AN27" s="2">
        <f>IF(AO27="FALSE",R27,IF(T27="風除室",1/((1/R27)+0.1),0.5*R27+0.5*(1/((1/R27)+AO27))))</f>
        <v>0</v>
      </c>
      <c r="AO27" s="40" t="str">
        <f>IF(T27="","FALSE",IF(T27="雨戸",0.1,IF(T27="ｼｬｯﾀｰ",0.1,IF(T27="障子",0.18,IF(T27="風除室",0.1)))))</f>
        <v>FALSE</v>
      </c>
    </row>
    <row r="28" spans="2:41" s="2" customFormat="1" ht="21.95" customHeight="1" thickBot="1">
      <c r="D28" s="89"/>
      <c r="E28" s="89"/>
      <c r="J28" s="294"/>
      <c r="K28" s="295"/>
      <c r="L28" s="295"/>
      <c r="M28" s="296"/>
      <c r="N28" s="297"/>
      <c r="O28" s="298"/>
      <c r="P28" s="298"/>
      <c r="Q28" s="299"/>
      <c r="R28" s="300"/>
      <c r="S28" s="300"/>
      <c r="T28" s="301"/>
      <c r="U28" s="301"/>
      <c r="V28" s="289" t="str">
        <f>IF(N28="","",N28*P28*R28*0.034*$V$4)</f>
        <v/>
      </c>
      <c r="W28" s="289"/>
      <c r="X28" s="289" t="str">
        <f>IF(N28="","",IF(ISERROR(N28*P28*R28*0.034*$X$4),"-",N28*P28*R28*0.034*$X$4))</f>
        <v/>
      </c>
      <c r="Y28" s="289"/>
      <c r="Z28" s="289" t="str">
        <f>IF(N28="","",N28*P28*AN28)</f>
        <v/>
      </c>
      <c r="AA28" s="290"/>
      <c r="AD28" s="49"/>
      <c r="AN28" s="2">
        <f>IF(AO28="FALSE",R28,IF(T28="風除室",1/((1/R28)+0.1),0.5*R28+0.5*(1/((1/R28)+AO28))))</f>
        <v>0</v>
      </c>
      <c r="AO28" s="40" t="str">
        <f>IF(T28="","FALSE",IF(T28="雨戸",0.1,IF(T28="ｼｬｯﾀｰ",0.1,IF(T28="障子",0.18,IF(T28="風除室",0.1)))))</f>
        <v>FALSE</v>
      </c>
    </row>
    <row r="29" spans="2:41" s="2" customFormat="1" ht="21.95" customHeight="1" thickBot="1">
      <c r="J29" s="218" t="s">
        <v>206</v>
      </c>
      <c r="K29" s="219"/>
      <c r="L29" s="219"/>
      <c r="M29" s="219"/>
      <c r="N29" s="219"/>
      <c r="O29" s="219"/>
      <c r="P29" s="219"/>
      <c r="Q29" s="219"/>
      <c r="R29" s="219"/>
      <c r="S29" s="219"/>
      <c r="T29" s="219"/>
      <c r="U29" s="366"/>
      <c r="V29" s="220">
        <f>SUM(V26:W28)</f>
        <v>0</v>
      </c>
      <c r="W29" s="220"/>
      <c r="X29" s="220">
        <f>SUM(X26:Y28)</f>
        <v>0</v>
      </c>
      <c r="Y29" s="220"/>
      <c r="Z29" s="220">
        <f>SUM(Z26:AA28)</f>
        <v>0</v>
      </c>
      <c r="AA29" s="221"/>
      <c r="AO29" s="40"/>
    </row>
    <row r="30" spans="2:41" s="2" customFormat="1" ht="9.9499999999999993" customHeight="1">
      <c r="J30" s="26"/>
      <c r="K30" s="26"/>
      <c r="L30" s="26"/>
      <c r="M30" s="26"/>
      <c r="N30" s="26"/>
      <c r="O30" s="26"/>
      <c r="P30" s="26"/>
      <c r="Q30" s="26"/>
      <c r="R30" s="26"/>
      <c r="S30" s="26"/>
      <c r="T30" s="26"/>
      <c r="U30" s="26"/>
      <c r="V30" s="73"/>
      <c r="W30" s="73"/>
      <c r="X30" s="73"/>
      <c r="Y30" s="73"/>
      <c r="Z30" s="73"/>
      <c r="AA30" s="73"/>
      <c r="AO30" s="40"/>
    </row>
    <row r="31" spans="2:41" s="2" customFormat="1" ht="21.95" customHeight="1" thickBot="1">
      <c r="J31" s="4" t="s">
        <v>15</v>
      </c>
      <c r="K31" s="4"/>
      <c r="L31" s="4"/>
      <c r="AO31" s="40"/>
    </row>
    <row r="32" spans="2:41" s="2" customFormat="1" ht="21.95" customHeight="1">
      <c r="J32" s="266" t="s">
        <v>0</v>
      </c>
      <c r="K32" s="267"/>
      <c r="L32" s="272" t="s">
        <v>159</v>
      </c>
      <c r="M32" s="273"/>
      <c r="N32" s="272" t="s">
        <v>160</v>
      </c>
      <c r="O32" s="273"/>
      <c r="P32" s="278" t="s">
        <v>161</v>
      </c>
      <c r="Q32" s="279"/>
      <c r="R32" s="284" t="s">
        <v>154</v>
      </c>
      <c r="S32" s="285"/>
      <c r="T32" s="284" t="s">
        <v>158</v>
      </c>
      <c r="U32" s="285"/>
      <c r="V32" s="284" t="s">
        <v>156</v>
      </c>
      <c r="W32" s="285"/>
      <c r="X32" s="284" t="s">
        <v>123</v>
      </c>
      <c r="Y32" s="291"/>
      <c r="AO32" s="40"/>
    </row>
    <row r="33" spans="2:41" s="2" customFormat="1" ht="21.95" customHeight="1">
      <c r="J33" s="268"/>
      <c r="K33" s="269"/>
      <c r="L33" s="274"/>
      <c r="M33" s="275"/>
      <c r="N33" s="274"/>
      <c r="O33" s="275"/>
      <c r="P33" s="280"/>
      <c r="Q33" s="281"/>
      <c r="R33" s="286"/>
      <c r="S33" s="286"/>
      <c r="T33" s="288"/>
      <c r="U33" s="286"/>
      <c r="V33" s="288"/>
      <c r="W33" s="286"/>
      <c r="X33" s="286"/>
      <c r="Y33" s="292"/>
      <c r="AO33" s="40"/>
    </row>
    <row r="34" spans="2:41" s="2" customFormat="1" ht="21.95" customHeight="1" thickBot="1">
      <c r="J34" s="270"/>
      <c r="K34" s="271"/>
      <c r="L34" s="276"/>
      <c r="M34" s="277"/>
      <c r="N34" s="276"/>
      <c r="O34" s="277"/>
      <c r="P34" s="282"/>
      <c r="Q34" s="283"/>
      <c r="R34" s="287"/>
      <c r="S34" s="287"/>
      <c r="T34" s="287"/>
      <c r="U34" s="287"/>
      <c r="V34" s="287"/>
      <c r="W34" s="287"/>
      <c r="X34" s="287"/>
      <c r="Y34" s="293"/>
    </row>
    <row r="35" spans="2:41" s="2" customFormat="1" ht="21.95" customHeight="1">
      <c r="J35" s="257"/>
      <c r="K35" s="258"/>
      <c r="L35" s="259"/>
      <c r="M35" s="260"/>
      <c r="N35" s="259"/>
      <c r="O35" s="260"/>
      <c r="P35" s="261" t="str">
        <f>IF(L35="","",L35-N35)</f>
        <v/>
      </c>
      <c r="Q35" s="262"/>
      <c r="R35" s="263"/>
      <c r="S35" s="263"/>
      <c r="T35" s="235" t="str">
        <f>IF(P35="","",P35*R35*0.034*$V$4)</f>
        <v/>
      </c>
      <c r="U35" s="235"/>
      <c r="V35" s="233" t="str">
        <f>IF(P35="","",IF(ISERROR(P35*R35*0.034*$X$4),"-",P35*R35*0.034*$X$4))</f>
        <v/>
      </c>
      <c r="W35" s="234"/>
      <c r="X35" s="264" t="str">
        <f>IF(R35="","",R35*P35)</f>
        <v/>
      </c>
      <c r="Y35" s="265"/>
      <c r="AD35" s="49"/>
      <c r="AE35" s="49"/>
      <c r="AF35" s="49"/>
    </row>
    <row r="36" spans="2:41" s="2" customFormat="1" ht="21.95" customHeight="1">
      <c r="J36" s="248"/>
      <c r="K36" s="249"/>
      <c r="L36" s="250"/>
      <c r="M36" s="251"/>
      <c r="N36" s="250"/>
      <c r="O36" s="251"/>
      <c r="P36" s="252" t="str">
        <f t="shared" ref="P36:P37" si="11">IF(L36="","",L36-N36)</f>
        <v/>
      </c>
      <c r="Q36" s="253"/>
      <c r="R36" s="250"/>
      <c r="S36" s="251"/>
      <c r="T36" s="233" t="str">
        <f t="shared" ref="T36:T39" si="12">IF(P36="","",P36*R36*0.034*$V$4)</f>
        <v/>
      </c>
      <c r="U36" s="234"/>
      <c r="V36" s="233" t="str">
        <f t="shared" ref="V36:V39" si="13">IF(P36="","",IF(ISERROR(P36*R36*0.034*$X$4),"-",P36*R36*0.034*$X$4))</f>
        <v/>
      </c>
      <c r="W36" s="234"/>
      <c r="X36" s="233" t="str">
        <f t="shared" ref="X36:X39" si="14">IF(R36="","",R36*P36)</f>
        <v/>
      </c>
      <c r="Y36" s="256"/>
      <c r="AD36" s="49"/>
      <c r="AE36" s="49"/>
      <c r="AF36" s="49"/>
    </row>
    <row r="37" spans="2:41" s="2" customFormat="1" ht="21.95" customHeight="1">
      <c r="J37" s="248"/>
      <c r="K37" s="249"/>
      <c r="L37" s="250"/>
      <c r="M37" s="251"/>
      <c r="N37" s="250"/>
      <c r="O37" s="251"/>
      <c r="P37" s="252" t="str">
        <f t="shared" si="11"/>
        <v/>
      </c>
      <c r="Q37" s="253"/>
      <c r="R37" s="250"/>
      <c r="S37" s="251"/>
      <c r="T37" s="233" t="str">
        <f t="shared" si="12"/>
        <v/>
      </c>
      <c r="U37" s="234"/>
      <c r="V37" s="233" t="str">
        <f t="shared" si="13"/>
        <v/>
      </c>
      <c r="W37" s="234"/>
      <c r="X37" s="233" t="str">
        <f t="shared" si="14"/>
        <v/>
      </c>
      <c r="Y37" s="256"/>
      <c r="AD37" s="49"/>
      <c r="AE37" s="49"/>
      <c r="AF37" s="49"/>
    </row>
    <row r="38" spans="2:41" s="2" customFormat="1" ht="21.95" customHeight="1">
      <c r="J38" s="248"/>
      <c r="K38" s="249"/>
      <c r="L38" s="250"/>
      <c r="M38" s="251"/>
      <c r="N38" s="250"/>
      <c r="O38" s="251"/>
      <c r="P38" s="252" t="str">
        <f>IF(L38="","",L38-N38)</f>
        <v/>
      </c>
      <c r="Q38" s="253"/>
      <c r="R38" s="254"/>
      <c r="S38" s="254"/>
      <c r="T38" s="235" t="str">
        <f t="shared" si="12"/>
        <v/>
      </c>
      <c r="U38" s="235"/>
      <c r="V38" s="233" t="str">
        <f t="shared" si="13"/>
        <v/>
      </c>
      <c r="W38" s="234"/>
      <c r="X38" s="235" t="str">
        <f t="shared" si="14"/>
        <v/>
      </c>
      <c r="Y38" s="236"/>
      <c r="AD38" s="49"/>
      <c r="AE38" s="49"/>
      <c r="AF38" s="49"/>
    </row>
    <row r="39" spans="2:41" s="2" customFormat="1" ht="21.95" customHeight="1" thickBot="1">
      <c r="J39" s="237"/>
      <c r="K39" s="238"/>
      <c r="L39" s="239"/>
      <c r="M39" s="240"/>
      <c r="N39" s="239"/>
      <c r="O39" s="240"/>
      <c r="P39" s="241" t="str">
        <f>IF(L39="","",L39-N39)</f>
        <v/>
      </c>
      <c r="Q39" s="242"/>
      <c r="R39" s="243"/>
      <c r="S39" s="243"/>
      <c r="T39" s="244" t="str">
        <f t="shared" si="12"/>
        <v/>
      </c>
      <c r="U39" s="244"/>
      <c r="V39" s="245" t="str">
        <f t="shared" si="13"/>
        <v/>
      </c>
      <c r="W39" s="246"/>
      <c r="X39" s="244" t="str">
        <f t="shared" si="14"/>
        <v/>
      </c>
      <c r="Y39" s="247"/>
      <c r="AD39" s="49"/>
      <c r="AE39" s="49"/>
      <c r="AF39" s="49"/>
    </row>
    <row r="40" spans="2:41" s="2" customFormat="1" ht="21.95" customHeight="1" thickBot="1">
      <c r="J40" s="218" t="s">
        <v>207</v>
      </c>
      <c r="K40" s="219"/>
      <c r="L40" s="219"/>
      <c r="M40" s="219"/>
      <c r="N40" s="219"/>
      <c r="O40" s="219"/>
      <c r="P40" s="219"/>
      <c r="Q40" s="219"/>
      <c r="R40" s="219"/>
      <c r="S40" s="219"/>
      <c r="T40" s="220">
        <f>SUM(T35:U39)</f>
        <v>0</v>
      </c>
      <c r="U40" s="220"/>
      <c r="V40" s="220">
        <f>IF(共通条件・結果!AA7="８地域","-",SUM(V35:W39))</f>
        <v>0</v>
      </c>
      <c r="W40" s="220"/>
      <c r="X40" s="220">
        <f>SUM(X35:Y39)</f>
        <v>0</v>
      </c>
      <c r="Y40" s="221"/>
    </row>
    <row r="41" spans="2:41" s="2" customFormat="1" ht="12">
      <c r="J41" s="74" t="s">
        <v>168</v>
      </c>
    </row>
    <row r="42" spans="2:41" s="2" customFormat="1" ht="21.95" customHeight="1" thickBot="1">
      <c r="B42" s="4" t="s">
        <v>208</v>
      </c>
    </row>
    <row r="43" spans="2:41" s="2" customFormat="1" ht="21.95" customHeight="1">
      <c r="B43" s="222" t="s">
        <v>197</v>
      </c>
      <c r="C43" s="223"/>
      <c r="D43" s="149" t="s">
        <v>37</v>
      </c>
      <c r="E43" s="150"/>
      <c r="F43" s="150"/>
      <c r="G43" s="150"/>
      <c r="H43" s="150"/>
      <c r="I43" s="150"/>
      <c r="J43" s="151"/>
      <c r="K43" s="68"/>
      <c r="L43" s="228">
        <f>Q43+U43+Y43</f>
        <v>0</v>
      </c>
      <c r="M43" s="228"/>
      <c r="N43" s="228"/>
      <c r="O43" s="68" t="s">
        <v>22</v>
      </c>
      <c r="P43" s="11" t="s">
        <v>21</v>
      </c>
      <c r="Q43" s="229">
        <f>D8*F8+D9*F9+D10*F10+D11*F11+D12*F12+D13*F13+D14*F14+D15*F15+D16*F16+D17*F17+D18*F18+D19*F19</f>
        <v>0</v>
      </c>
      <c r="R43" s="229"/>
      <c r="S43" s="75" t="s">
        <v>23</v>
      </c>
      <c r="T43" s="75" t="s">
        <v>20</v>
      </c>
      <c r="U43" s="230">
        <f>N26*P26+N27*P27+N28*P28</f>
        <v>0</v>
      </c>
      <c r="V43" s="230"/>
      <c r="W43" s="75" t="s">
        <v>23</v>
      </c>
      <c r="X43" s="75" t="s">
        <v>1</v>
      </c>
      <c r="Y43" s="232">
        <f>SUM(P35:Q39)</f>
        <v>0</v>
      </c>
      <c r="Z43" s="232"/>
      <c r="AA43" s="76" t="s">
        <v>17</v>
      </c>
    </row>
    <row r="44" spans="2:41" s="2" customFormat="1" ht="21.95" customHeight="1">
      <c r="B44" s="224"/>
      <c r="C44" s="225"/>
      <c r="D44" s="154" t="s">
        <v>47</v>
      </c>
      <c r="E44" s="155"/>
      <c r="F44" s="155"/>
      <c r="G44" s="155"/>
      <c r="H44" s="155"/>
      <c r="I44" s="155"/>
      <c r="J44" s="156"/>
      <c r="K44" s="71"/>
      <c r="L44" s="71"/>
      <c r="M44" s="71"/>
      <c r="N44" s="71"/>
      <c r="O44" s="71"/>
      <c r="P44" s="71"/>
      <c r="Q44" s="71"/>
      <c r="R44" s="71"/>
      <c r="S44" s="71"/>
      <c r="T44" s="71"/>
      <c r="U44" s="71"/>
      <c r="V44" s="71"/>
      <c r="W44" s="215">
        <f>V20+V29+T40</f>
        <v>0</v>
      </c>
      <c r="X44" s="215"/>
      <c r="Y44" s="215"/>
      <c r="Z44" s="216" t="s">
        <v>126</v>
      </c>
      <c r="AA44" s="217"/>
    </row>
    <row r="45" spans="2:41" s="2" customFormat="1" ht="21.95" customHeight="1">
      <c r="B45" s="224"/>
      <c r="C45" s="225"/>
      <c r="D45" s="154" t="s">
        <v>48</v>
      </c>
      <c r="E45" s="155"/>
      <c r="F45" s="155"/>
      <c r="G45" s="155"/>
      <c r="H45" s="155"/>
      <c r="I45" s="155"/>
      <c r="J45" s="156"/>
      <c r="K45" s="71"/>
      <c r="L45" s="71"/>
      <c r="M45" s="71"/>
      <c r="N45" s="71"/>
      <c r="O45" s="71"/>
      <c r="P45" s="71"/>
      <c r="Q45" s="71"/>
      <c r="R45" s="71"/>
      <c r="S45" s="71"/>
      <c r="T45" s="71"/>
      <c r="U45" s="71"/>
      <c r="V45" s="71"/>
      <c r="W45" s="215">
        <f>IF(共通条件・結果!AA7="８地域","-",$X$20+$X$29+$V$40)</f>
        <v>0</v>
      </c>
      <c r="X45" s="215"/>
      <c r="Y45" s="215"/>
      <c r="Z45" s="216" t="s">
        <v>126</v>
      </c>
      <c r="AA45" s="217"/>
    </row>
    <row r="46" spans="2:41" s="2" customFormat="1" ht="21.95" customHeight="1" thickBot="1">
      <c r="B46" s="226"/>
      <c r="C46" s="227"/>
      <c r="D46" s="142" t="s">
        <v>18</v>
      </c>
      <c r="E46" s="143"/>
      <c r="F46" s="143"/>
      <c r="G46" s="143"/>
      <c r="H46" s="143"/>
      <c r="I46" s="143"/>
      <c r="J46" s="144"/>
      <c r="K46" s="69"/>
      <c r="L46" s="69"/>
      <c r="M46" s="69"/>
      <c r="N46" s="69"/>
      <c r="O46" s="69"/>
      <c r="P46" s="69"/>
      <c r="Q46" s="69"/>
      <c r="R46" s="69"/>
      <c r="S46" s="69"/>
      <c r="T46" s="69"/>
      <c r="U46" s="69"/>
      <c r="V46" s="69"/>
      <c r="W46" s="255">
        <f>Z20+Z29+X40</f>
        <v>0</v>
      </c>
      <c r="X46" s="255"/>
      <c r="Y46" s="255"/>
      <c r="Z46" s="70" t="s">
        <v>19</v>
      </c>
      <c r="AA46" s="77"/>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PHlHD1+ejmo1xCqeXUfxYfhSi6o+xEy67h1DsnOiupUo6uRnFh/ralbhANKwTc40kHrcZONGF6MDWYzShxixAw==" saltValue="3iyZN2Cqli6qwriEDwKTBA==" spinCount="100000"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Y43:Z43">
    <cfRule type="expression" dxfId="50" priority="23" stopIfTrue="1">
      <formula>$Y$43=0</formula>
    </cfRule>
  </conditionalFormatting>
  <conditionalFormatting sqref="Q43:R43">
    <cfRule type="expression" dxfId="49" priority="22" stopIfTrue="1">
      <formula>$Q$43=0</formula>
    </cfRule>
  </conditionalFormatting>
  <conditionalFormatting sqref="U43:V43">
    <cfRule type="expression" dxfId="48" priority="21" stopIfTrue="1">
      <formula>$U$43=0</formula>
    </cfRule>
  </conditionalFormatting>
  <conditionalFormatting sqref="L43:N43">
    <cfRule type="expression" dxfId="47" priority="20" stopIfTrue="1">
      <formula>$L$43=0</formula>
    </cfRule>
  </conditionalFormatting>
  <conditionalFormatting sqref="X8:Y8">
    <cfRule type="expression" dxfId="46" priority="18" stopIfTrue="1">
      <formula>#VALUE!</formula>
    </cfRule>
    <cfRule type="expression" dxfId="45" priority="19" stopIfTrue="1">
      <formula>#VALUE!</formula>
    </cfRule>
  </conditionalFormatting>
  <conditionalFormatting sqref="X19:Y19">
    <cfRule type="expression" dxfId="44" priority="17" stopIfTrue="1">
      <formula>#VALUE!</formula>
    </cfRule>
  </conditionalFormatting>
  <conditionalFormatting sqref="X8:Y8">
    <cfRule type="expression" dxfId="43" priority="15" stopIfTrue="1">
      <formula>#VALUE!</formula>
    </cfRule>
    <cfRule type="expression" dxfId="42" priority="16" stopIfTrue="1">
      <formula>#VALUE!</formula>
    </cfRule>
  </conditionalFormatting>
  <conditionalFormatting sqref="X19:Y19">
    <cfRule type="expression" dxfId="41" priority="14" stopIfTrue="1">
      <formula>#VALUE!</formula>
    </cfRule>
  </conditionalFormatting>
  <conditionalFormatting sqref="P8:U8">
    <cfRule type="expression" dxfId="40" priority="13" stopIfTrue="1">
      <formula>$AG$8=TRUE</formula>
    </cfRule>
  </conditionalFormatting>
  <conditionalFormatting sqref="P15:U15">
    <cfRule type="expression" dxfId="39" priority="12" stopIfTrue="1">
      <formula>$AG$15=TRUE</formula>
    </cfRule>
  </conditionalFormatting>
  <conditionalFormatting sqref="P16:U16">
    <cfRule type="expression" dxfId="38" priority="11" stopIfTrue="1">
      <formula>$AG$16=TRUE</formula>
    </cfRule>
  </conditionalFormatting>
  <conditionalFormatting sqref="P17:U17">
    <cfRule type="expression" dxfId="37" priority="10" stopIfTrue="1">
      <formula>$AG$17=TRUE</formula>
    </cfRule>
  </conditionalFormatting>
  <conditionalFormatting sqref="P18:U18">
    <cfRule type="expression" dxfId="36" priority="9" stopIfTrue="1">
      <formula>$AG$18=TRUE</formula>
    </cfRule>
  </conditionalFormatting>
  <conditionalFormatting sqref="P19:U19">
    <cfRule type="expression" dxfId="35" priority="8" stopIfTrue="1">
      <formula>$AG$19=TRUE</formula>
    </cfRule>
  </conditionalFormatting>
  <conditionalFormatting sqref="P10:U10">
    <cfRule type="expression" dxfId="34" priority="7" stopIfTrue="1">
      <formula>$AG$10=TRUE</formula>
    </cfRule>
  </conditionalFormatting>
  <conditionalFormatting sqref="P11:U11">
    <cfRule type="expression" dxfId="33" priority="6" stopIfTrue="1">
      <formula>$AG$11=TRUE</formula>
    </cfRule>
  </conditionalFormatting>
  <conditionalFormatting sqref="P14:U14">
    <cfRule type="expression" dxfId="32" priority="5" stopIfTrue="1">
      <formula>$AG$14=TRUE</formula>
    </cfRule>
  </conditionalFormatting>
  <conditionalFormatting sqref="P9:U9">
    <cfRule type="expression" dxfId="31" priority="4" stopIfTrue="1">
      <formula>$AG$9=TRUE</formula>
    </cfRule>
  </conditionalFormatting>
  <conditionalFormatting sqref="P12:U12">
    <cfRule type="expression" dxfId="30" priority="3">
      <formula>$AG$12=TRUE</formula>
    </cfRule>
  </conditionalFormatting>
  <conditionalFormatting sqref="P13:U13">
    <cfRule type="expression" dxfId="29" priority="2">
      <formula>$AG$13=TRUE</formula>
    </cfRule>
  </conditionalFormatting>
  <dataValidations count="1">
    <dataValidation type="list" allowBlank="1" showInputMessage="1" showErrorMessage="1" sqref="M14:M19 L8:L19 M8:M11 T26:T28 U26 U28" xr:uid="{36379FD4-ABAD-4D2B-8D96-416479D429DA}">
      <formula1>"　,雨戸,ｼｬｯﾀｰ,障子,風除室"</formula1>
    </dataValidation>
  </dataValidations>
  <pageMargins left="0.70866141732283472" right="0.70866141732283472" top="0.74803149606299213" bottom="0.74803149606299213" header="0.31496062992125984" footer="0.31496062992125984"/>
  <pageSetup paperSize="9" scale="77"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4007-7400-42F9-98F4-4C085EDFC020}">
  <sheetPr codeName="Sheet10"/>
  <dimension ref="B1:AO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9" width="3.875" customWidth="1"/>
    <col min="30" max="31" width="10.625" hidden="1" customWidth="1"/>
    <col min="32" max="32" width="2.625" hidden="1" customWidth="1"/>
    <col min="33" max="35" width="10.625" hidden="1" customWidth="1"/>
    <col min="36" max="36" width="2.625" hidden="1" customWidth="1"/>
    <col min="37" max="38" width="15.625" hidden="1" customWidth="1"/>
    <col min="39" max="39" width="2.625" hidden="1" customWidth="1"/>
    <col min="40" max="41" width="10.625" hidden="1" customWidth="1"/>
    <col min="42" max="43" width="3.625" customWidth="1"/>
    <col min="44" max="47" width="4.625" customWidth="1"/>
  </cols>
  <sheetData>
    <row r="1" spans="2:41" ht="3.95" customHeight="1"/>
    <row r="2" spans="2:41" s="1" customFormat="1" ht="30" customHeight="1">
      <c r="B2" s="379" t="s">
        <v>199</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row>
    <row r="3" spans="2:41" s="2" customFormat="1" ht="24.95" customHeight="1" thickBot="1"/>
    <row r="4" spans="2:41" s="2" customFormat="1" ht="21.95" customHeight="1" thickBot="1">
      <c r="B4" s="4" t="s">
        <v>5</v>
      </c>
      <c r="R4" s="380" t="s">
        <v>33</v>
      </c>
      <c r="S4" s="381"/>
      <c r="T4" s="381"/>
      <c r="U4" s="382"/>
      <c r="V4" s="383"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W4" s="384"/>
      <c r="X4" s="383"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Y4" s="384"/>
    </row>
    <row r="5" spans="2:41" s="2" customFormat="1" ht="21.95" customHeight="1">
      <c r="B5" s="385" t="s">
        <v>6</v>
      </c>
      <c r="C5" s="285"/>
      <c r="D5" s="285" t="s">
        <v>153</v>
      </c>
      <c r="E5" s="285"/>
      <c r="F5" s="285"/>
      <c r="G5" s="285"/>
      <c r="H5" s="284" t="s">
        <v>154</v>
      </c>
      <c r="I5" s="285"/>
      <c r="J5" s="284" t="s">
        <v>65</v>
      </c>
      <c r="K5" s="285"/>
      <c r="L5" s="284" t="s">
        <v>9</v>
      </c>
      <c r="M5" s="285"/>
      <c r="N5" s="388" t="s">
        <v>46</v>
      </c>
      <c r="O5" s="232"/>
      <c r="P5" s="232"/>
      <c r="Q5" s="232"/>
      <c r="R5" s="232"/>
      <c r="S5" s="232"/>
      <c r="T5" s="232"/>
      <c r="U5" s="232"/>
      <c r="V5" s="284" t="s">
        <v>155</v>
      </c>
      <c r="W5" s="285"/>
      <c r="X5" s="284" t="s">
        <v>156</v>
      </c>
      <c r="Y5" s="285"/>
      <c r="Z5" s="284" t="s">
        <v>123</v>
      </c>
      <c r="AA5" s="291"/>
    </row>
    <row r="6" spans="2:41" s="2" customFormat="1" ht="21.95" customHeight="1">
      <c r="B6" s="386"/>
      <c r="C6" s="286"/>
      <c r="D6" s="367" t="s">
        <v>8</v>
      </c>
      <c r="E6" s="368"/>
      <c r="F6" s="371" t="s">
        <v>7</v>
      </c>
      <c r="G6" s="372"/>
      <c r="H6" s="286"/>
      <c r="I6" s="286"/>
      <c r="J6" s="288"/>
      <c r="K6" s="286"/>
      <c r="L6" s="288"/>
      <c r="M6" s="286"/>
      <c r="N6" s="373" t="s">
        <v>45</v>
      </c>
      <c r="O6" s="374"/>
      <c r="P6" s="376" t="s">
        <v>157</v>
      </c>
      <c r="Q6" s="377"/>
      <c r="R6" s="377"/>
      <c r="S6" s="377"/>
      <c r="T6" s="377"/>
      <c r="U6" s="378"/>
      <c r="V6" s="288"/>
      <c r="W6" s="286"/>
      <c r="X6" s="288"/>
      <c r="Y6" s="286"/>
      <c r="Z6" s="286"/>
      <c r="AA6" s="292"/>
      <c r="AD6" s="307" t="s">
        <v>49</v>
      </c>
      <c r="AE6" s="307"/>
      <c r="AF6" s="40"/>
      <c r="AG6" s="40"/>
      <c r="AH6" s="307" t="s">
        <v>12</v>
      </c>
      <c r="AI6" s="307"/>
      <c r="AJ6" s="40"/>
      <c r="AK6" s="307" t="s">
        <v>50</v>
      </c>
      <c r="AL6" s="307"/>
      <c r="AN6" s="307" t="s">
        <v>58</v>
      </c>
      <c r="AO6" s="307"/>
    </row>
    <row r="7" spans="2:41" s="2" customFormat="1" ht="21.95" customHeight="1" thickBot="1">
      <c r="B7" s="387"/>
      <c r="C7" s="287"/>
      <c r="D7" s="369"/>
      <c r="E7" s="370"/>
      <c r="F7" s="317"/>
      <c r="G7" s="271"/>
      <c r="H7" s="287"/>
      <c r="I7" s="287"/>
      <c r="J7" s="287"/>
      <c r="K7" s="287"/>
      <c r="L7" s="287"/>
      <c r="M7" s="287"/>
      <c r="N7" s="276"/>
      <c r="O7" s="375"/>
      <c r="P7" s="271" t="s">
        <v>10</v>
      </c>
      <c r="Q7" s="320"/>
      <c r="R7" s="364" t="s">
        <v>11</v>
      </c>
      <c r="S7" s="365"/>
      <c r="T7" s="271" t="s">
        <v>3</v>
      </c>
      <c r="U7" s="320"/>
      <c r="V7" s="287"/>
      <c r="W7" s="287"/>
      <c r="X7" s="287"/>
      <c r="Y7" s="287"/>
      <c r="Z7" s="287"/>
      <c r="AA7" s="293"/>
      <c r="AD7" s="40" t="s">
        <v>4</v>
      </c>
      <c r="AE7" s="40" t="s">
        <v>16</v>
      </c>
      <c r="AF7" s="40"/>
      <c r="AG7" s="40"/>
      <c r="AH7" s="40" t="s">
        <v>4</v>
      </c>
      <c r="AI7" s="40" t="s">
        <v>16</v>
      </c>
      <c r="AJ7" s="40"/>
      <c r="AK7" s="40" t="s">
        <v>4</v>
      </c>
      <c r="AL7" s="40" t="s">
        <v>16</v>
      </c>
      <c r="AN7" s="72" t="s">
        <v>56</v>
      </c>
      <c r="AO7" s="2" t="s">
        <v>54</v>
      </c>
    </row>
    <row r="8" spans="2:41" s="2" customFormat="1" ht="21.95" customHeight="1">
      <c r="B8" s="257"/>
      <c r="C8" s="363"/>
      <c r="D8" s="311"/>
      <c r="E8" s="312"/>
      <c r="F8" s="312"/>
      <c r="G8" s="313"/>
      <c r="H8" s="263"/>
      <c r="I8" s="263"/>
      <c r="J8" s="263"/>
      <c r="K8" s="263"/>
      <c r="L8" s="335"/>
      <c r="M8" s="335"/>
      <c r="N8" s="355"/>
      <c r="O8" s="356"/>
      <c r="P8" s="357"/>
      <c r="Q8" s="358"/>
      <c r="R8" s="359"/>
      <c r="S8" s="360"/>
      <c r="T8" s="361"/>
      <c r="U8" s="357"/>
      <c r="V8" s="362" t="str">
        <f>IF(D8="","",AD8)</f>
        <v/>
      </c>
      <c r="W8" s="362"/>
      <c r="X8" s="362" t="str">
        <f t="shared" ref="X8:X19" si="0">IF(D8="","",IF(ISERROR(AE8),"-",AE8))</f>
        <v/>
      </c>
      <c r="Y8" s="362"/>
      <c r="Z8" s="362" t="str">
        <f>IF(D8="","",D8*F8*AN8)</f>
        <v/>
      </c>
      <c r="AA8" s="389"/>
      <c r="AD8" s="2" t="e">
        <f>D8*F8*J8*$V$4*AH8</f>
        <v>#VALUE!</v>
      </c>
      <c r="AE8" s="2" t="e">
        <f>D8*F8*J8*$X$4*AI8</f>
        <v>#VALUE!</v>
      </c>
      <c r="AG8" s="49"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1">IF(L8="","FALSE",IF(L8="雨戸",0.1,IF(L8="ｼｬｯﾀｰ",0.1,IF(L8="障子",0.18,IF(L8="風除室",0.1)))))</f>
        <v>FALSE</v>
      </c>
    </row>
    <row r="9" spans="2:41" s="2" customFormat="1" ht="21.95" customHeight="1">
      <c r="B9" s="248"/>
      <c r="C9" s="349"/>
      <c r="D9" s="350"/>
      <c r="E9" s="351"/>
      <c r="F9" s="351"/>
      <c r="G9" s="352"/>
      <c r="H9" s="254"/>
      <c r="I9" s="254"/>
      <c r="J9" s="254"/>
      <c r="K9" s="254"/>
      <c r="L9" s="301"/>
      <c r="M9" s="301"/>
      <c r="N9" s="341"/>
      <c r="O9" s="342"/>
      <c r="P9" s="343"/>
      <c r="Q9" s="344"/>
      <c r="R9" s="345"/>
      <c r="S9" s="346"/>
      <c r="T9" s="347"/>
      <c r="U9" s="343"/>
      <c r="V9" s="235" t="str">
        <f t="shared" ref="V9:V19" si="2">IF(D9="","",AD9)</f>
        <v/>
      </c>
      <c r="W9" s="235"/>
      <c r="X9" s="235" t="str">
        <f t="shared" si="0"/>
        <v/>
      </c>
      <c r="Y9" s="235"/>
      <c r="Z9" s="235" t="str">
        <f t="shared" ref="Z9:Z19" si="3">IF(D9="","",D9*F9*AN9)</f>
        <v/>
      </c>
      <c r="AA9" s="236"/>
      <c r="AD9" s="2" t="e">
        <f t="shared" ref="AD9:AD19" si="4">D9*F9*J9*$V$4*AH9</f>
        <v>#VALUE!</v>
      </c>
      <c r="AE9" s="2" t="e">
        <f t="shared" ref="AE9:AE19" si="5">D9*F9*J9*$X$4*AI9</f>
        <v>#VALUE!</v>
      </c>
      <c r="AG9" s="49"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1"/>
        <v>FALSE</v>
      </c>
    </row>
    <row r="10" spans="2:41" s="2" customFormat="1" ht="21.95" customHeight="1">
      <c r="B10" s="248"/>
      <c r="C10" s="349"/>
      <c r="D10" s="350"/>
      <c r="E10" s="351"/>
      <c r="F10" s="351"/>
      <c r="G10" s="352"/>
      <c r="H10" s="254"/>
      <c r="I10" s="254"/>
      <c r="J10" s="254"/>
      <c r="K10" s="254"/>
      <c r="L10" s="301"/>
      <c r="M10" s="301"/>
      <c r="N10" s="341"/>
      <c r="O10" s="342"/>
      <c r="P10" s="344"/>
      <c r="Q10" s="353"/>
      <c r="R10" s="348"/>
      <c r="S10" s="353"/>
      <c r="T10" s="348"/>
      <c r="U10" s="347"/>
      <c r="V10" s="235" t="str">
        <f t="shared" si="2"/>
        <v/>
      </c>
      <c r="W10" s="235"/>
      <c r="X10" s="235" t="str">
        <f t="shared" si="0"/>
        <v/>
      </c>
      <c r="Y10" s="235"/>
      <c r="Z10" s="235" t="str">
        <f t="shared" si="3"/>
        <v/>
      </c>
      <c r="AA10" s="236"/>
      <c r="AD10" s="2" t="e">
        <f t="shared" si="4"/>
        <v>#VALUE!</v>
      </c>
      <c r="AE10" s="2" t="e">
        <f t="shared" si="5"/>
        <v>#VALUE!</v>
      </c>
      <c r="AG10" s="49" t="b">
        <v>0</v>
      </c>
      <c r="AH10" s="2" t="str">
        <f t="shared" si="6"/>
        <v>エラー</v>
      </c>
      <c r="AI10" s="2" t="str">
        <f t="shared" si="7"/>
        <v>エラー</v>
      </c>
      <c r="AK10" s="2" t="e">
        <f t="shared" si="8"/>
        <v>#DIV/0!</v>
      </c>
      <c r="AL10" s="2" t="e">
        <f t="shared" si="9"/>
        <v>#DIV/0!</v>
      </c>
      <c r="AN10" s="2">
        <f t="shared" si="10"/>
        <v>0</v>
      </c>
      <c r="AO10" s="40" t="str">
        <f t="shared" si="1"/>
        <v>FALSE</v>
      </c>
    </row>
    <row r="11" spans="2:41" s="2" customFormat="1" ht="21.95" customHeight="1">
      <c r="B11" s="248"/>
      <c r="C11" s="349"/>
      <c r="D11" s="350"/>
      <c r="E11" s="351"/>
      <c r="F11" s="351"/>
      <c r="G11" s="352"/>
      <c r="H11" s="254"/>
      <c r="I11" s="254"/>
      <c r="J11" s="254"/>
      <c r="K11" s="254"/>
      <c r="L11" s="301"/>
      <c r="M11" s="301"/>
      <c r="N11" s="341"/>
      <c r="O11" s="342"/>
      <c r="P11" s="344"/>
      <c r="Q11" s="353"/>
      <c r="R11" s="348"/>
      <c r="S11" s="353"/>
      <c r="T11" s="348"/>
      <c r="U11" s="347"/>
      <c r="V11" s="235" t="str">
        <f t="shared" si="2"/>
        <v/>
      </c>
      <c r="W11" s="235"/>
      <c r="X11" s="235" t="str">
        <f t="shared" si="0"/>
        <v/>
      </c>
      <c r="Y11" s="235"/>
      <c r="Z11" s="235" t="str">
        <f t="shared" si="3"/>
        <v/>
      </c>
      <c r="AA11" s="236"/>
      <c r="AD11" s="2" t="e">
        <f t="shared" si="4"/>
        <v>#VALUE!</v>
      </c>
      <c r="AE11" s="2" t="e">
        <f t="shared" si="5"/>
        <v>#VALUE!</v>
      </c>
      <c r="AG11" s="49" t="b">
        <v>0</v>
      </c>
      <c r="AH11" s="2" t="str">
        <f t="shared" si="6"/>
        <v>エラー</v>
      </c>
      <c r="AI11" s="2" t="str">
        <f t="shared" si="7"/>
        <v>エラー</v>
      </c>
      <c r="AK11" s="2" t="e">
        <f t="shared" si="8"/>
        <v>#DIV/0!</v>
      </c>
      <c r="AL11" s="2" t="e">
        <f t="shared" si="9"/>
        <v>#DIV/0!</v>
      </c>
      <c r="AN11" s="2">
        <f t="shared" si="10"/>
        <v>0</v>
      </c>
      <c r="AO11" s="40" t="str">
        <f t="shared" si="1"/>
        <v>FALSE</v>
      </c>
    </row>
    <row r="12" spans="2:41" s="2" customFormat="1" ht="21.95" customHeight="1">
      <c r="B12" s="248"/>
      <c r="C12" s="249"/>
      <c r="D12" s="250"/>
      <c r="E12" s="305"/>
      <c r="F12" s="306"/>
      <c r="G12" s="251"/>
      <c r="H12" s="250"/>
      <c r="I12" s="251"/>
      <c r="J12" s="250"/>
      <c r="K12" s="251"/>
      <c r="L12" s="315"/>
      <c r="M12" s="316"/>
      <c r="N12" s="341"/>
      <c r="O12" s="354"/>
      <c r="P12" s="344"/>
      <c r="Q12" s="353"/>
      <c r="R12" s="348"/>
      <c r="S12" s="353"/>
      <c r="T12" s="348"/>
      <c r="U12" s="347"/>
      <c r="V12" s="233" t="str">
        <f t="shared" si="2"/>
        <v/>
      </c>
      <c r="W12" s="234"/>
      <c r="X12" s="233" t="str">
        <f t="shared" si="0"/>
        <v/>
      </c>
      <c r="Y12" s="234"/>
      <c r="Z12" s="233" t="str">
        <f t="shared" si="3"/>
        <v/>
      </c>
      <c r="AA12" s="256"/>
      <c r="AD12" s="2" t="e">
        <f t="shared" si="4"/>
        <v>#VALUE!</v>
      </c>
      <c r="AE12" s="2" t="e">
        <f t="shared" si="5"/>
        <v>#VALUE!</v>
      </c>
      <c r="AG12" s="49" t="b">
        <v>0</v>
      </c>
      <c r="AH12" s="2" t="str">
        <f t="shared" si="6"/>
        <v>エラー</v>
      </c>
      <c r="AI12" s="2" t="str">
        <f t="shared" si="7"/>
        <v>エラー</v>
      </c>
      <c r="AK12" s="2" t="e">
        <f t="shared" si="8"/>
        <v>#DIV/0!</v>
      </c>
      <c r="AL12" s="2" t="e">
        <f t="shared" si="9"/>
        <v>#DIV/0!</v>
      </c>
      <c r="AN12" s="2">
        <f t="shared" si="10"/>
        <v>0</v>
      </c>
      <c r="AO12" s="40" t="str">
        <f t="shared" si="1"/>
        <v>FALSE</v>
      </c>
    </row>
    <row r="13" spans="2:41" s="2" customFormat="1" ht="21.95" customHeight="1">
      <c r="B13" s="248"/>
      <c r="C13" s="249"/>
      <c r="D13" s="250"/>
      <c r="E13" s="305"/>
      <c r="F13" s="306"/>
      <c r="G13" s="251"/>
      <c r="H13" s="250"/>
      <c r="I13" s="251"/>
      <c r="J13" s="250"/>
      <c r="K13" s="251"/>
      <c r="L13" s="315"/>
      <c r="M13" s="316"/>
      <c r="N13" s="341"/>
      <c r="O13" s="354"/>
      <c r="P13" s="344"/>
      <c r="Q13" s="353"/>
      <c r="R13" s="348"/>
      <c r="S13" s="353"/>
      <c r="T13" s="348"/>
      <c r="U13" s="347"/>
      <c r="V13" s="233" t="str">
        <f t="shared" si="2"/>
        <v/>
      </c>
      <c r="W13" s="234"/>
      <c r="X13" s="233" t="str">
        <f t="shared" si="0"/>
        <v/>
      </c>
      <c r="Y13" s="234"/>
      <c r="Z13" s="233" t="str">
        <f t="shared" si="3"/>
        <v/>
      </c>
      <c r="AA13" s="256"/>
      <c r="AD13" s="2" t="e">
        <f t="shared" si="4"/>
        <v>#VALUE!</v>
      </c>
      <c r="AE13" s="2" t="e">
        <f t="shared" si="5"/>
        <v>#VALUE!</v>
      </c>
      <c r="AG13" s="49" t="b">
        <v>0</v>
      </c>
      <c r="AH13" s="2" t="str">
        <f t="shared" si="6"/>
        <v>エラー</v>
      </c>
      <c r="AI13" s="2" t="str">
        <f t="shared" si="7"/>
        <v>エラー</v>
      </c>
      <c r="AK13" s="2" t="e">
        <f t="shared" si="8"/>
        <v>#DIV/0!</v>
      </c>
      <c r="AL13" s="2" t="e">
        <f t="shared" si="9"/>
        <v>#DIV/0!</v>
      </c>
      <c r="AN13" s="2">
        <f t="shared" si="10"/>
        <v>0</v>
      </c>
      <c r="AO13" s="40" t="str">
        <f t="shared" si="1"/>
        <v>FALSE</v>
      </c>
    </row>
    <row r="14" spans="2:41" s="2" customFormat="1" ht="21.95" customHeight="1">
      <c r="B14" s="248"/>
      <c r="C14" s="349"/>
      <c r="D14" s="350"/>
      <c r="E14" s="351"/>
      <c r="F14" s="351"/>
      <c r="G14" s="352"/>
      <c r="H14" s="254"/>
      <c r="I14" s="254"/>
      <c r="J14" s="254"/>
      <c r="K14" s="254"/>
      <c r="L14" s="301"/>
      <c r="M14" s="301"/>
      <c r="N14" s="341"/>
      <c r="O14" s="342"/>
      <c r="P14" s="344"/>
      <c r="Q14" s="353"/>
      <c r="R14" s="348"/>
      <c r="S14" s="353"/>
      <c r="T14" s="348"/>
      <c r="U14" s="347"/>
      <c r="V14" s="235" t="str">
        <f t="shared" si="2"/>
        <v/>
      </c>
      <c r="W14" s="235"/>
      <c r="X14" s="235" t="str">
        <f t="shared" si="0"/>
        <v/>
      </c>
      <c r="Y14" s="235"/>
      <c r="Z14" s="235" t="str">
        <f t="shared" si="3"/>
        <v/>
      </c>
      <c r="AA14" s="236"/>
      <c r="AD14" s="2" t="e">
        <f t="shared" si="4"/>
        <v>#VALUE!</v>
      </c>
      <c r="AE14" s="2" t="e">
        <f t="shared" si="5"/>
        <v>#VALUE!</v>
      </c>
      <c r="AG14" s="49" t="b">
        <v>0</v>
      </c>
      <c r="AH14" s="2" t="str">
        <f t="shared" si="6"/>
        <v>エラー</v>
      </c>
      <c r="AI14" s="2" t="str">
        <f t="shared" si="7"/>
        <v>エラー</v>
      </c>
      <c r="AK14" s="2" t="e">
        <f t="shared" si="8"/>
        <v>#DIV/0!</v>
      </c>
      <c r="AL14" s="2" t="e">
        <f t="shared" si="9"/>
        <v>#DIV/0!</v>
      </c>
      <c r="AN14" s="2">
        <f t="shared" si="10"/>
        <v>0</v>
      </c>
      <c r="AO14" s="40" t="str">
        <f t="shared" si="1"/>
        <v>FALSE</v>
      </c>
    </row>
    <row r="15" spans="2:41" s="2" customFormat="1" ht="21.95" customHeight="1">
      <c r="B15" s="248"/>
      <c r="C15" s="349"/>
      <c r="D15" s="350"/>
      <c r="E15" s="351"/>
      <c r="F15" s="351"/>
      <c r="G15" s="352"/>
      <c r="H15" s="254"/>
      <c r="I15" s="254"/>
      <c r="J15" s="254"/>
      <c r="K15" s="254"/>
      <c r="L15" s="301"/>
      <c r="M15" s="301"/>
      <c r="N15" s="341"/>
      <c r="O15" s="342"/>
      <c r="P15" s="344"/>
      <c r="Q15" s="353"/>
      <c r="R15" s="348"/>
      <c r="S15" s="353"/>
      <c r="T15" s="348"/>
      <c r="U15" s="347"/>
      <c r="V15" s="233" t="str">
        <f t="shared" si="2"/>
        <v/>
      </c>
      <c r="W15" s="234"/>
      <c r="X15" s="235" t="str">
        <f t="shared" si="0"/>
        <v/>
      </c>
      <c r="Y15" s="235"/>
      <c r="Z15" s="235" t="str">
        <f t="shared" si="3"/>
        <v/>
      </c>
      <c r="AA15" s="236"/>
      <c r="AD15" s="2" t="e">
        <f t="shared" si="4"/>
        <v>#VALUE!</v>
      </c>
      <c r="AE15" s="2" t="e">
        <f t="shared" si="5"/>
        <v>#VALUE!</v>
      </c>
      <c r="AG15" s="49" t="b">
        <v>0</v>
      </c>
      <c r="AH15" s="2" t="str">
        <f t="shared" si="6"/>
        <v>エラー</v>
      </c>
      <c r="AI15" s="2" t="str">
        <f t="shared" si="7"/>
        <v>エラー</v>
      </c>
      <c r="AK15" s="2" t="e">
        <f t="shared" si="8"/>
        <v>#DIV/0!</v>
      </c>
      <c r="AL15" s="2" t="e">
        <f t="shared" si="9"/>
        <v>#DIV/0!</v>
      </c>
      <c r="AN15" s="2">
        <f t="shared" si="10"/>
        <v>0</v>
      </c>
      <c r="AO15" s="40" t="str">
        <f t="shared" si="1"/>
        <v>FALSE</v>
      </c>
    </row>
    <row r="16" spans="2:41" s="2" customFormat="1" ht="21.95" customHeight="1">
      <c r="B16" s="248"/>
      <c r="C16" s="349"/>
      <c r="D16" s="350"/>
      <c r="E16" s="351"/>
      <c r="F16" s="351"/>
      <c r="G16" s="352"/>
      <c r="H16" s="254"/>
      <c r="I16" s="254"/>
      <c r="J16" s="254"/>
      <c r="K16" s="254"/>
      <c r="L16" s="301"/>
      <c r="M16" s="301"/>
      <c r="N16" s="341"/>
      <c r="O16" s="342"/>
      <c r="P16" s="344"/>
      <c r="Q16" s="353"/>
      <c r="R16" s="348"/>
      <c r="S16" s="353"/>
      <c r="T16" s="348"/>
      <c r="U16" s="347"/>
      <c r="V16" s="233" t="str">
        <f t="shared" si="2"/>
        <v/>
      </c>
      <c r="W16" s="234"/>
      <c r="X16" s="235" t="str">
        <f t="shared" si="0"/>
        <v/>
      </c>
      <c r="Y16" s="235"/>
      <c r="Z16" s="235" t="str">
        <f t="shared" si="3"/>
        <v/>
      </c>
      <c r="AA16" s="236"/>
      <c r="AD16" s="2" t="e">
        <f t="shared" si="4"/>
        <v>#VALUE!</v>
      </c>
      <c r="AE16" s="2" t="e">
        <f t="shared" si="5"/>
        <v>#VALUE!</v>
      </c>
      <c r="AG16" s="49" t="b">
        <v>0</v>
      </c>
      <c r="AH16" s="2" t="str">
        <f t="shared" si="6"/>
        <v>エラー</v>
      </c>
      <c r="AI16" s="2" t="str">
        <f t="shared" si="7"/>
        <v>エラー</v>
      </c>
      <c r="AK16" s="2" t="e">
        <f t="shared" si="8"/>
        <v>#DIV/0!</v>
      </c>
      <c r="AL16" s="2" t="e">
        <f t="shared" si="9"/>
        <v>#DIV/0!</v>
      </c>
      <c r="AN16" s="2">
        <f t="shared" si="10"/>
        <v>0</v>
      </c>
      <c r="AO16" s="40" t="str">
        <f t="shared" si="1"/>
        <v>FALSE</v>
      </c>
    </row>
    <row r="17" spans="2:41" s="2" customFormat="1" ht="21.95" customHeight="1">
      <c r="B17" s="248"/>
      <c r="C17" s="349"/>
      <c r="D17" s="350"/>
      <c r="E17" s="351"/>
      <c r="F17" s="351"/>
      <c r="G17" s="352"/>
      <c r="H17" s="254"/>
      <c r="I17" s="254"/>
      <c r="J17" s="254"/>
      <c r="K17" s="254"/>
      <c r="L17" s="301"/>
      <c r="M17" s="301"/>
      <c r="N17" s="341"/>
      <c r="O17" s="342"/>
      <c r="P17" s="343"/>
      <c r="Q17" s="344"/>
      <c r="R17" s="348"/>
      <c r="S17" s="353"/>
      <c r="T17" s="348"/>
      <c r="U17" s="347"/>
      <c r="V17" s="233" t="str">
        <f t="shared" si="2"/>
        <v/>
      </c>
      <c r="W17" s="234"/>
      <c r="X17" s="235" t="str">
        <f t="shared" si="0"/>
        <v/>
      </c>
      <c r="Y17" s="235"/>
      <c r="Z17" s="235" t="str">
        <f t="shared" si="3"/>
        <v/>
      </c>
      <c r="AA17" s="236"/>
      <c r="AD17" s="2" t="e">
        <f t="shared" si="4"/>
        <v>#VALUE!</v>
      </c>
      <c r="AE17" s="2" t="e">
        <f t="shared" si="5"/>
        <v>#VALUE!</v>
      </c>
      <c r="AG17" s="49" t="b">
        <v>0</v>
      </c>
      <c r="AH17" s="2" t="str">
        <f t="shared" si="6"/>
        <v>エラー</v>
      </c>
      <c r="AI17" s="2" t="str">
        <f t="shared" si="7"/>
        <v>エラー</v>
      </c>
      <c r="AK17" s="2" t="e">
        <f t="shared" si="8"/>
        <v>#DIV/0!</v>
      </c>
      <c r="AL17" s="2" t="e">
        <f t="shared" si="9"/>
        <v>#DIV/0!</v>
      </c>
      <c r="AN17" s="2">
        <f t="shared" si="10"/>
        <v>0</v>
      </c>
      <c r="AO17" s="40" t="str">
        <f t="shared" si="1"/>
        <v>FALSE</v>
      </c>
    </row>
    <row r="18" spans="2:41" s="2" customFormat="1" ht="21.95" customHeight="1">
      <c r="B18" s="248"/>
      <c r="C18" s="349"/>
      <c r="D18" s="350"/>
      <c r="E18" s="351"/>
      <c r="F18" s="351"/>
      <c r="G18" s="352"/>
      <c r="H18" s="254"/>
      <c r="I18" s="254"/>
      <c r="J18" s="254"/>
      <c r="K18" s="254"/>
      <c r="L18" s="301"/>
      <c r="M18" s="301"/>
      <c r="N18" s="341"/>
      <c r="O18" s="342"/>
      <c r="P18" s="343"/>
      <c r="Q18" s="344"/>
      <c r="R18" s="345"/>
      <c r="S18" s="346"/>
      <c r="T18" s="347"/>
      <c r="U18" s="343"/>
      <c r="V18" s="233" t="str">
        <f t="shared" si="2"/>
        <v/>
      </c>
      <c r="W18" s="234"/>
      <c r="X18" s="235" t="str">
        <f t="shared" si="0"/>
        <v/>
      </c>
      <c r="Y18" s="235"/>
      <c r="Z18" s="235" t="str">
        <f t="shared" si="3"/>
        <v/>
      </c>
      <c r="AA18" s="236"/>
      <c r="AD18" s="2" t="e">
        <f t="shared" si="4"/>
        <v>#VALUE!</v>
      </c>
      <c r="AE18" s="2" t="e">
        <f t="shared" si="5"/>
        <v>#VALUE!</v>
      </c>
      <c r="AG18" s="49" t="b">
        <v>0</v>
      </c>
      <c r="AH18" s="2" t="str">
        <f t="shared" si="6"/>
        <v>エラー</v>
      </c>
      <c r="AI18" s="2" t="str">
        <f t="shared" si="7"/>
        <v>エラー</v>
      </c>
      <c r="AK18" s="2" t="e">
        <f t="shared" si="8"/>
        <v>#DIV/0!</v>
      </c>
      <c r="AL18" s="2" t="e">
        <f t="shared" si="9"/>
        <v>#DIV/0!</v>
      </c>
      <c r="AN18" s="2">
        <f t="shared" si="10"/>
        <v>0</v>
      </c>
      <c r="AO18" s="40" t="str">
        <f t="shared" si="1"/>
        <v>FALSE</v>
      </c>
    </row>
    <row r="19" spans="2:41" s="2" customFormat="1" ht="21.95" customHeight="1" thickBot="1">
      <c r="B19" s="237"/>
      <c r="C19" s="334"/>
      <c r="D19" s="297"/>
      <c r="E19" s="298"/>
      <c r="F19" s="298"/>
      <c r="G19" s="299"/>
      <c r="H19" s="300"/>
      <c r="I19" s="300"/>
      <c r="J19" s="300"/>
      <c r="K19" s="300"/>
      <c r="L19" s="335"/>
      <c r="M19" s="335"/>
      <c r="N19" s="336"/>
      <c r="O19" s="337"/>
      <c r="P19" s="333"/>
      <c r="Q19" s="338"/>
      <c r="R19" s="339"/>
      <c r="S19" s="340"/>
      <c r="T19" s="332"/>
      <c r="U19" s="333"/>
      <c r="V19" s="233" t="str">
        <f t="shared" si="2"/>
        <v/>
      </c>
      <c r="W19" s="234"/>
      <c r="X19" s="235" t="str">
        <f t="shared" si="0"/>
        <v/>
      </c>
      <c r="Y19" s="235"/>
      <c r="Z19" s="244" t="str">
        <f t="shared" si="3"/>
        <v/>
      </c>
      <c r="AA19" s="247"/>
      <c r="AD19" s="2" t="e">
        <f t="shared" si="4"/>
        <v>#VALUE!</v>
      </c>
      <c r="AE19" s="2" t="e">
        <f t="shared" si="5"/>
        <v>#VALUE!</v>
      </c>
      <c r="AG19" s="49" t="b">
        <v>0</v>
      </c>
      <c r="AH19" s="2" t="str">
        <f t="shared" si="6"/>
        <v>エラー</v>
      </c>
      <c r="AI19" s="2" t="str">
        <f t="shared" si="7"/>
        <v>エラー</v>
      </c>
      <c r="AK19" s="2" t="e">
        <f t="shared" si="8"/>
        <v>#DIV/0!</v>
      </c>
      <c r="AL19" s="2" t="e">
        <f t="shared" si="9"/>
        <v>#DIV/0!</v>
      </c>
      <c r="AN19" s="2">
        <f t="shared" si="10"/>
        <v>0</v>
      </c>
      <c r="AO19" s="40" t="str">
        <f t="shared" si="1"/>
        <v>FALSE</v>
      </c>
    </row>
    <row r="20" spans="2:41" s="2" customFormat="1" ht="21.95" customHeight="1" thickBot="1">
      <c r="B20" s="218" t="s">
        <v>200</v>
      </c>
      <c r="C20" s="219"/>
      <c r="D20" s="219"/>
      <c r="E20" s="219"/>
      <c r="F20" s="219"/>
      <c r="G20" s="219"/>
      <c r="H20" s="219"/>
      <c r="I20" s="219"/>
      <c r="J20" s="219"/>
      <c r="K20" s="219"/>
      <c r="L20" s="219"/>
      <c r="M20" s="219"/>
      <c r="N20" s="219"/>
      <c r="O20" s="219"/>
      <c r="P20" s="219"/>
      <c r="Q20" s="219"/>
      <c r="R20" s="219"/>
      <c r="S20" s="219"/>
      <c r="T20" s="219"/>
      <c r="U20" s="219"/>
      <c r="V20" s="220">
        <f>SUM(V8:W19)</f>
        <v>0</v>
      </c>
      <c r="W20" s="220"/>
      <c r="X20" s="220">
        <f>IF(共通条件・結果!AA7="８地域","-",SUM(X8:Y19))</f>
        <v>0</v>
      </c>
      <c r="Y20" s="220"/>
      <c r="Z20" s="220">
        <f>SUM(Z8:AA19)</f>
        <v>0</v>
      </c>
      <c r="AA20" s="221"/>
    </row>
    <row r="21" spans="2:41" s="2" customFormat="1" ht="9.9499999999999993" customHeight="1">
      <c r="AN21" s="307"/>
      <c r="AO21" s="307"/>
    </row>
    <row r="22" spans="2:41" s="2" customFormat="1" ht="21.95" customHeight="1" thickBot="1">
      <c r="E22" s="4"/>
      <c r="J22" s="4" t="s">
        <v>13</v>
      </c>
    </row>
    <row r="23" spans="2:41" s="2" customFormat="1" ht="21.95" customHeight="1">
      <c r="J23" s="266" t="s">
        <v>14</v>
      </c>
      <c r="K23" s="183"/>
      <c r="L23" s="183"/>
      <c r="M23" s="267"/>
      <c r="N23" s="322" t="s">
        <v>153</v>
      </c>
      <c r="O23" s="183"/>
      <c r="P23" s="183"/>
      <c r="Q23" s="267"/>
      <c r="R23" s="284" t="s">
        <v>154</v>
      </c>
      <c r="S23" s="285"/>
      <c r="T23" s="324" t="s">
        <v>9</v>
      </c>
      <c r="U23" s="325"/>
      <c r="V23" s="272" t="s">
        <v>158</v>
      </c>
      <c r="W23" s="273"/>
      <c r="X23" s="272" t="s">
        <v>156</v>
      </c>
      <c r="Y23" s="273"/>
      <c r="Z23" s="272" t="s">
        <v>123</v>
      </c>
      <c r="AA23" s="184"/>
      <c r="AN23" s="307" t="s">
        <v>58</v>
      </c>
      <c r="AO23" s="307"/>
    </row>
    <row r="24" spans="2:41" s="2" customFormat="1" ht="21.95" customHeight="1">
      <c r="J24" s="268"/>
      <c r="K24" s="307"/>
      <c r="L24" s="307"/>
      <c r="M24" s="269"/>
      <c r="N24" s="195"/>
      <c r="O24" s="196"/>
      <c r="P24" s="196"/>
      <c r="Q24" s="323"/>
      <c r="R24" s="288"/>
      <c r="S24" s="286"/>
      <c r="T24" s="326"/>
      <c r="U24" s="327"/>
      <c r="V24" s="274"/>
      <c r="W24" s="275"/>
      <c r="X24" s="274"/>
      <c r="Y24" s="275"/>
      <c r="Z24" s="318"/>
      <c r="AA24" s="319"/>
      <c r="AN24" s="40"/>
      <c r="AO24" s="40"/>
    </row>
    <row r="25" spans="2:41" s="2" customFormat="1" ht="21.95" customHeight="1" thickBot="1">
      <c r="J25" s="270"/>
      <c r="K25" s="317"/>
      <c r="L25" s="317"/>
      <c r="M25" s="271"/>
      <c r="N25" s="329" t="s">
        <v>8</v>
      </c>
      <c r="O25" s="330"/>
      <c r="P25" s="331" t="s">
        <v>7</v>
      </c>
      <c r="Q25" s="287"/>
      <c r="R25" s="287"/>
      <c r="S25" s="287"/>
      <c r="T25" s="328"/>
      <c r="U25" s="328"/>
      <c r="V25" s="276"/>
      <c r="W25" s="277"/>
      <c r="X25" s="276"/>
      <c r="Y25" s="277"/>
      <c r="Z25" s="320"/>
      <c r="AA25" s="321"/>
      <c r="AN25" s="72" t="s">
        <v>56</v>
      </c>
      <c r="AO25" s="2" t="s">
        <v>54</v>
      </c>
    </row>
    <row r="26" spans="2:41" s="2" customFormat="1" ht="21.95" customHeight="1">
      <c r="D26" s="89"/>
      <c r="E26" s="89"/>
      <c r="J26" s="308"/>
      <c r="K26" s="309"/>
      <c r="L26" s="309"/>
      <c r="M26" s="310"/>
      <c r="N26" s="311"/>
      <c r="O26" s="312"/>
      <c r="P26" s="312"/>
      <c r="Q26" s="313"/>
      <c r="R26" s="263"/>
      <c r="S26" s="263"/>
      <c r="T26" s="314"/>
      <c r="U26" s="314"/>
      <c r="V26" s="264" t="str">
        <f>IF(N26="","",N26*P26*R26*0.034*$V$4)</f>
        <v/>
      </c>
      <c r="W26" s="264"/>
      <c r="X26" s="264" t="str">
        <f>IF(N26="","",IF(ISERROR(N26*P26*R26*0.034*$X$4),"-",N26*P26*R26*0.034*$X$4))</f>
        <v/>
      </c>
      <c r="Y26" s="264"/>
      <c r="Z26" s="264" t="str">
        <f>IF(N26="","",N26*P26*AN26)</f>
        <v/>
      </c>
      <c r="AA26" s="265"/>
      <c r="AD26" s="49"/>
      <c r="AN26" s="2">
        <f>IF(AO26="FALSE",R26,IF(T26="風除室",1/((1/R26)+0.1),0.5*R26+0.5*(1/((1/R26)+AO26))))</f>
        <v>0</v>
      </c>
      <c r="AO26" s="40" t="str">
        <f>IF(T26="","FALSE",IF(T26="雨戸",0.1,IF(T26="ｼｬｯﾀｰ",0.1,IF(T26="障子",0.18,IF(T26="風除室",0.1)))))</f>
        <v>FALSE</v>
      </c>
    </row>
    <row r="27" spans="2:41" s="2" customFormat="1" ht="21.95" customHeight="1">
      <c r="D27" s="89"/>
      <c r="E27" s="89"/>
      <c r="J27" s="302"/>
      <c r="K27" s="303"/>
      <c r="L27" s="303"/>
      <c r="M27" s="304"/>
      <c r="N27" s="250"/>
      <c r="O27" s="305"/>
      <c r="P27" s="306"/>
      <c r="Q27" s="251"/>
      <c r="R27" s="250"/>
      <c r="S27" s="251"/>
      <c r="T27" s="315"/>
      <c r="U27" s="316"/>
      <c r="V27" s="233" t="str">
        <f>IF(N27="","",N27*P27*R27*0.034*$V$4)</f>
        <v/>
      </c>
      <c r="W27" s="234"/>
      <c r="X27" s="233" t="str">
        <f>IF(N27="","",IF(ISERROR(N27*P27*R27*0.034*$X$4),"-",N27*P27*R27*0.034*$X$4))</f>
        <v/>
      </c>
      <c r="Y27" s="234"/>
      <c r="Z27" s="233" t="str">
        <f>IF(N27="","",N27*P27*AN27)</f>
        <v/>
      </c>
      <c r="AA27" s="256"/>
      <c r="AD27" s="49"/>
      <c r="AN27" s="2">
        <f>IF(AO27="FALSE",R27,IF(T27="風除室",1/((1/R27)+0.1),0.5*R27+0.5*(1/((1/R27)+AO27))))</f>
        <v>0</v>
      </c>
      <c r="AO27" s="40" t="str">
        <f>IF(T27="","FALSE",IF(T27="雨戸",0.1,IF(T27="ｼｬｯﾀｰ",0.1,IF(T27="障子",0.18,IF(T27="風除室",0.1)))))</f>
        <v>FALSE</v>
      </c>
    </row>
    <row r="28" spans="2:41" s="2" customFormat="1" ht="21.95" customHeight="1" thickBot="1">
      <c r="D28" s="89"/>
      <c r="E28" s="89"/>
      <c r="J28" s="294"/>
      <c r="K28" s="295"/>
      <c r="L28" s="295"/>
      <c r="M28" s="296"/>
      <c r="N28" s="297"/>
      <c r="O28" s="298"/>
      <c r="P28" s="298"/>
      <c r="Q28" s="299"/>
      <c r="R28" s="300"/>
      <c r="S28" s="300"/>
      <c r="T28" s="301" t="s">
        <v>44</v>
      </c>
      <c r="U28" s="301"/>
      <c r="V28" s="289" t="str">
        <f>IF(N28="","",N28*P28*R28*0.034*$V$4)</f>
        <v/>
      </c>
      <c r="W28" s="289"/>
      <c r="X28" s="289" t="str">
        <f>IF(N28="","",IF(ISERROR(N28*P28*R28*0.034*$X$4),"-",N28*P28*R28*0.034*$X$4))</f>
        <v/>
      </c>
      <c r="Y28" s="289"/>
      <c r="Z28" s="289" t="str">
        <f>IF(N28="","",N28*P28*AN28)</f>
        <v/>
      </c>
      <c r="AA28" s="290"/>
      <c r="AD28" s="49"/>
      <c r="AN28" s="2" t="e">
        <f>IF(AO28="FALSE",R28,IF(T28="風除室",1/((1/R28)+0.1),0.5*R28+0.5*(1/((1/R28)+AO28))))</f>
        <v>#DIV/0!</v>
      </c>
      <c r="AO28" s="40" t="b">
        <f>IF(T28="","FALSE",IF(T28="雨戸",0.1,IF(T28="ｼｬｯﾀｰ",0.1,IF(T28="障子",0.18,IF(T28="風除室",0.1)))))</f>
        <v>0</v>
      </c>
    </row>
    <row r="29" spans="2:41" s="2" customFormat="1" ht="21.95" customHeight="1" thickBot="1">
      <c r="J29" s="218" t="s">
        <v>201</v>
      </c>
      <c r="K29" s="219"/>
      <c r="L29" s="219"/>
      <c r="M29" s="219"/>
      <c r="N29" s="219"/>
      <c r="O29" s="219"/>
      <c r="P29" s="219"/>
      <c r="Q29" s="219"/>
      <c r="R29" s="219"/>
      <c r="S29" s="219"/>
      <c r="T29" s="219"/>
      <c r="U29" s="366"/>
      <c r="V29" s="220">
        <f>SUM(V26:W28)</f>
        <v>0</v>
      </c>
      <c r="W29" s="220"/>
      <c r="X29" s="220">
        <f>SUM(X26:Y28)</f>
        <v>0</v>
      </c>
      <c r="Y29" s="220"/>
      <c r="Z29" s="220">
        <f>SUM(Z26:AA28)</f>
        <v>0</v>
      </c>
      <c r="AA29" s="221"/>
      <c r="AO29" s="40"/>
    </row>
    <row r="30" spans="2:41" s="2" customFormat="1" ht="9.9499999999999993" customHeight="1">
      <c r="J30" s="26"/>
      <c r="K30" s="26"/>
      <c r="L30" s="26"/>
      <c r="M30" s="26"/>
      <c r="N30" s="26"/>
      <c r="O30" s="26"/>
      <c r="P30" s="26"/>
      <c r="Q30" s="26"/>
      <c r="R30" s="26"/>
      <c r="S30" s="26"/>
      <c r="T30" s="26"/>
      <c r="U30" s="26"/>
      <c r="V30" s="73"/>
      <c r="W30" s="73"/>
      <c r="X30" s="73"/>
      <c r="Y30" s="73"/>
      <c r="Z30" s="73"/>
      <c r="AA30" s="73"/>
      <c r="AO30" s="40"/>
    </row>
    <row r="31" spans="2:41" s="2" customFormat="1" ht="21.95" customHeight="1" thickBot="1">
      <c r="J31" s="4" t="s">
        <v>15</v>
      </c>
      <c r="K31" s="4"/>
      <c r="L31" s="4"/>
      <c r="AO31" s="40"/>
    </row>
    <row r="32" spans="2:41" s="2" customFormat="1" ht="21.95" customHeight="1">
      <c r="J32" s="266" t="s">
        <v>0</v>
      </c>
      <c r="K32" s="267"/>
      <c r="L32" s="272" t="s">
        <v>159</v>
      </c>
      <c r="M32" s="273"/>
      <c r="N32" s="272" t="s">
        <v>160</v>
      </c>
      <c r="O32" s="273"/>
      <c r="P32" s="278" t="s">
        <v>161</v>
      </c>
      <c r="Q32" s="279"/>
      <c r="R32" s="284" t="s">
        <v>154</v>
      </c>
      <c r="S32" s="285"/>
      <c r="T32" s="284" t="s">
        <v>158</v>
      </c>
      <c r="U32" s="285"/>
      <c r="V32" s="284" t="s">
        <v>156</v>
      </c>
      <c r="W32" s="285"/>
      <c r="X32" s="284" t="s">
        <v>123</v>
      </c>
      <c r="Y32" s="291"/>
      <c r="AO32" s="40"/>
    </row>
    <row r="33" spans="2:41" s="2" customFormat="1" ht="21.95" customHeight="1">
      <c r="J33" s="268"/>
      <c r="K33" s="269"/>
      <c r="L33" s="274"/>
      <c r="M33" s="275"/>
      <c r="N33" s="274"/>
      <c r="O33" s="275"/>
      <c r="P33" s="280"/>
      <c r="Q33" s="281"/>
      <c r="R33" s="286"/>
      <c r="S33" s="286"/>
      <c r="T33" s="288"/>
      <c r="U33" s="286"/>
      <c r="V33" s="288"/>
      <c r="W33" s="286"/>
      <c r="X33" s="286"/>
      <c r="Y33" s="292"/>
      <c r="AO33" s="40"/>
    </row>
    <row r="34" spans="2:41" s="2" customFormat="1" ht="21.95" customHeight="1" thickBot="1">
      <c r="J34" s="270"/>
      <c r="K34" s="271"/>
      <c r="L34" s="276"/>
      <c r="M34" s="277"/>
      <c r="N34" s="276"/>
      <c r="O34" s="277"/>
      <c r="P34" s="282"/>
      <c r="Q34" s="283"/>
      <c r="R34" s="287"/>
      <c r="S34" s="287"/>
      <c r="T34" s="287"/>
      <c r="U34" s="287"/>
      <c r="V34" s="287"/>
      <c r="W34" s="287"/>
      <c r="X34" s="287"/>
      <c r="Y34" s="293"/>
    </row>
    <row r="35" spans="2:41" s="2" customFormat="1" ht="21.95" customHeight="1">
      <c r="J35" s="257"/>
      <c r="K35" s="258"/>
      <c r="L35" s="259"/>
      <c r="M35" s="260"/>
      <c r="N35" s="259"/>
      <c r="O35" s="260"/>
      <c r="P35" s="261" t="str">
        <f>IF(L35="","",L35-N35)</f>
        <v/>
      </c>
      <c r="Q35" s="262"/>
      <c r="R35" s="263"/>
      <c r="S35" s="263"/>
      <c r="T35" s="235" t="str">
        <f>IF(P35="","",P35*R35*0.034*$V$4)</f>
        <v/>
      </c>
      <c r="U35" s="235"/>
      <c r="V35" s="233" t="str">
        <f>IF(P35="","",IF(ISERROR(P35*R35*0.034*$X$4),"-",P35*R35*0.034*$X$4))</f>
        <v/>
      </c>
      <c r="W35" s="234"/>
      <c r="X35" s="264" t="str">
        <f>IF(R35="","",R35*P35)</f>
        <v/>
      </c>
      <c r="Y35" s="265"/>
      <c r="AD35" s="49"/>
      <c r="AE35" s="49"/>
      <c r="AF35" s="49"/>
    </row>
    <row r="36" spans="2:41" s="2" customFormat="1" ht="21.95" customHeight="1">
      <c r="J36" s="248"/>
      <c r="K36" s="249"/>
      <c r="L36" s="250"/>
      <c r="M36" s="251"/>
      <c r="N36" s="250"/>
      <c r="O36" s="251"/>
      <c r="P36" s="252" t="str">
        <f t="shared" ref="P36:P37" si="11">IF(L36="","",L36-N36)</f>
        <v/>
      </c>
      <c r="Q36" s="253"/>
      <c r="R36" s="250"/>
      <c r="S36" s="251"/>
      <c r="T36" s="233" t="str">
        <f t="shared" ref="T36:T39" si="12">IF(P36="","",P36*R36*0.034*$V$4)</f>
        <v/>
      </c>
      <c r="U36" s="234"/>
      <c r="V36" s="233" t="str">
        <f t="shared" ref="V36:V39" si="13">IF(P36="","",IF(ISERROR(P36*R36*0.034*$X$4),"-",P36*R36*0.034*$X$4))</f>
        <v/>
      </c>
      <c r="W36" s="234"/>
      <c r="X36" s="233" t="str">
        <f t="shared" ref="X36:X39" si="14">IF(R36="","",R36*P36)</f>
        <v/>
      </c>
      <c r="Y36" s="256"/>
      <c r="AD36" s="49"/>
      <c r="AE36" s="49"/>
      <c r="AF36" s="49"/>
    </row>
    <row r="37" spans="2:41" s="2" customFormat="1" ht="21.95" customHeight="1">
      <c r="J37" s="248"/>
      <c r="K37" s="249"/>
      <c r="L37" s="250"/>
      <c r="M37" s="251"/>
      <c r="N37" s="250"/>
      <c r="O37" s="251"/>
      <c r="P37" s="252" t="str">
        <f t="shared" si="11"/>
        <v/>
      </c>
      <c r="Q37" s="253"/>
      <c r="R37" s="250"/>
      <c r="S37" s="251"/>
      <c r="T37" s="233" t="str">
        <f t="shared" si="12"/>
        <v/>
      </c>
      <c r="U37" s="234"/>
      <c r="V37" s="233" t="str">
        <f t="shared" si="13"/>
        <v/>
      </c>
      <c r="W37" s="234"/>
      <c r="X37" s="233" t="str">
        <f t="shared" si="14"/>
        <v/>
      </c>
      <c r="Y37" s="256"/>
      <c r="AD37" s="49"/>
      <c r="AE37" s="49"/>
      <c r="AF37" s="49"/>
    </row>
    <row r="38" spans="2:41" s="2" customFormat="1" ht="21.95" customHeight="1">
      <c r="J38" s="248"/>
      <c r="K38" s="249"/>
      <c r="L38" s="250"/>
      <c r="M38" s="251"/>
      <c r="N38" s="250"/>
      <c r="O38" s="251"/>
      <c r="P38" s="252" t="str">
        <f>IF(L38="","",L38-N38)</f>
        <v/>
      </c>
      <c r="Q38" s="253"/>
      <c r="R38" s="254"/>
      <c r="S38" s="254"/>
      <c r="T38" s="235" t="str">
        <f t="shared" si="12"/>
        <v/>
      </c>
      <c r="U38" s="235"/>
      <c r="V38" s="233" t="str">
        <f t="shared" si="13"/>
        <v/>
      </c>
      <c r="W38" s="234"/>
      <c r="X38" s="235" t="str">
        <f t="shared" si="14"/>
        <v/>
      </c>
      <c r="Y38" s="236"/>
      <c r="AD38" s="49"/>
      <c r="AE38" s="49"/>
      <c r="AF38" s="49"/>
    </row>
    <row r="39" spans="2:41" s="2" customFormat="1" ht="21.95" customHeight="1" thickBot="1">
      <c r="J39" s="237"/>
      <c r="K39" s="238"/>
      <c r="L39" s="239"/>
      <c r="M39" s="240"/>
      <c r="N39" s="239"/>
      <c r="O39" s="240"/>
      <c r="P39" s="241" t="str">
        <f>IF(L39="","",L39-N39)</f>
        <v/>
      </c>
      <c r="Q39" s="242"/>
      <c r="R39" s="243"/>
      <c r="S39" s="243"/>
      <c r="T39" s="244" t="str">
        <f t="shared" si="12"/>
        <v/>
      </c>
      <c r="U39" s="244"/>
      <c r="V39" s="245" t="str">
        <f t="shared" si="13"/>
        <v/>
      </c>
      <c r="W39" s="246"/>
      <c r="X39" s="244" t="str">
        <f t="shared" si="14"/>
        <v/>
      </c>
      <c r="Y39" s="247"/>
      <c r="AD39" s="49"/>
      <c r="AE39" s="49"/>
      <c r="AF39" s="49"/>
    </row>
    <row r="40" spans="2:41" s="2" customFormat="1" ht="21.95" customHeight="1" thickBot="1">
      <c r="J40" s="218" t="s">
        <v>202</v>
      </c>
      <c r="K40" s="219"/>
      <c r="L40" s="219"/>
      <c r="M40" s="219"/>
      <c r="N40" s="219"/>
      <c r="O40" s="219"/>
      <c r="P40" s="219"/>
      <c r="Q40" s="219"/>
      <c r="R40" s="219"/>
      <c r="S40" s="219"/>
      <c r="T40" s="220">
        <f>SUM(T35:U39)</f>
        <v>0</v>
      </c>
      <c r="U40" s="220"/>
      <c r="V40" s="220">
        <f>IF(共通条件・結果!AA7="８地域","-",SUM(V35:W39))</f>
        <v>0</v>
      </c>
      <c r="W40" s="220"/>
      <c r="X40" s="220">
        <f>SUM(X35:Y39)</f>
        <v>0</v>
      </c>
      <c r="Y40" s="221"/>
    </row>
    <row r="41" spans="2:41" s="2" customFormat="1" ht="12">
      <c r="J41" s="74" t="s">
        <v>168</v>
      </c>
    </row>
    <row r="42" spans="2:41" s="2" customFormat="1" ht="21.95" customHeight="1" thickBot="1">
      <c r="B42" s="4" t="s">
        <v>203</v>
      </c>
    </row>
    <row r="43" spans="2:41" s="2" customFormat="1" ht="21.95" customHeight="1">
      <c r="B43" s="222" t="s">
        <v>198</v>
      </c>
      <c r="C43" s="223"/>
      <c r="D43" s="149" t="s">
        <v>37</v>
      </c>
      <c r="E43" s="150"/>
      <c r="F43" s="150"/>
      <c r="G43" s="150"/>
      <c r="H43" s="150"/>
      <c r="I43" s="150"/>
      <c r="J43" s="151"/>
      <c r="K43" s="68"/>
      <c r="L43" s="228">
        <f>Q43+U43+Y43</f>
        <v>0</v>
      </c>
      <c r="M43" s="228"/>
      <c r="N43" s="228"/>
      <c r="O43" s="68" t="s">
        <v>22</v>
      </c>
      <c r="P43" s="11" t="s">
        <v>21</v>
      </c>
      <c r="Q43" s="229">
        <f>D8*F8+D9*F9+D10*F10+D11*F11+D12*F12+D13*F13+D14*F14+D15*F15+D16*F16+D17*F17+D18*F18+D19*F19</f>
        <v>0</v>
      </c>
      <c r="R43" s="229"/>
      <c r="S43" s="75" t="s">
        <v>23</v>
      </c>
      <c r="T43" s="75" t="s">
        <v>20</v>
      </c>
      <c r="U43" s="230">
        <f>N26*P26+N27*P27+N28*P28</f>
        <v>0</v>
      </c>
      <c r="V43" s="230"/>
      <c r="W43" s="75" t="s">
        <v>23</v>
      </c>
      <c r="X43" s="75" t="s">
        <v>1</v>
      </c>
      <c r="Y43" s="232">
        <f>SUM(P35:Q39)</f>
        <v>0</v>
      </c>
      <c r="Z43" s="232"/>
      <c r="AA43" s="76" t="s">
        <v>17</v>
      </c>
    </row>
    <row r="44" spans="2:41" s="2" customFormat="1" ht="21.95" customHeight="1">
      <c r="B44" s="224"/>
      <c r="C44" s="225"/>
      <c r="D44" s="154" t="s">
        <v>47</v>
      </c>
      <c r="E44" s="155"/>
      <c r="F44" s="155"/>
      <c r="G44" s="155"/>
      <c r="H44" s="155"/>
      <c r="I44" s="155"/>
      <c r="J44" s="156"/>
      <c r="K44" s="71"/>
      <c r="L44" s="71"/>
      <c r="M44" s="71"/>
      <c r="N44" s="71"/>
      <c r="O44" s="71"/>
      <c r="P44" s="71"/>
      <c r="Q44" s="71"/>
      <c r="R44" s="71"/>
      <c r="S44" s="71"/>
      <c r="T44" s="71"/>
      <c r="U44" s="71"/>
      <c r="V44" s="71"/>
      <c r="W44" s="215">
        <f>V20+V29+T40</f>
        <v>0</v>
      </c>
      <c r="X44" s="215"/>
      <c r="Y44" s="215"/>
      <c r="Z44" s="216" t="s">
        <v>126</v>
      </c>
      <c r="AA44" s="217"/>
    </row>
    <row r="45" spans="2:41" s="2" customFormat="1" ht="21.95" customHeight="1">
      <c r="B45" s="224"/>
      <c r="C45" s="225"/>
      <c r="D45" s="154" t="s">
        <v>48</v>
      </c>
      <c r="E45" s="155"/>
      <c r="F45" s="155"/>
      <c r="G45" s="155"/>
      <c r="H45" s="155"/>
      <c r="I45" s="155"/>
      <c r="J45" s="156"/>
      <c r="K45" s="71"/>
      <c r="L45" s="71"/>
      <c r="M45" s="71"/>
      <c r="N45" s="71"/>
      <c r="O45" s="71"/>
      <c r="P45" s="71"/>
      <c r="Q45" s="71"/>
      <c r="R45" s="71"/>
      <c r="S45" s="71"/>
      <c r="T45" s="71"/>
      <c r="U45" s="71"/>
      <c r="V45" s="71"/>
      <c r="W45" s="215">
        <f>IF(共通条件・結果!AA7="８地域","-",$X$20+$X$29+$V$40)</f>
        <v>0</v>
      </c>
      <c r="X45" s="215"/>
      <c r="Y45" s="215"/>
      <c r="Z45" s="216" t="s">
        <v>126</v>
      </c>
      <c r="AA45" s="217"/>
    </row>
    <row r="46" spans="2:41" s="2" customFormat="1" ht="21.95" customHeight="1" thickBot="1">
      <c r="B46" s="226"/>
      <c r="C46" s="227"/>
      <c r="D46" s="142" t="s">
        <v>18</v>
      </c>
      <c r="E46" s="143"/>
      <c r="F46" s="143"/>
      <c r="G46" s="143"/>
      <c r="H46" s="143"/>
      <c r="I46" s="143"/>
      <c r="J46" s="144"/>
      <c r="K46" s="69"/>
      <c r="L46" s="69"/>
      <c r="M46" s="69"/>
      <c r="N46" s="69"/>
      <c r="O46" s="69"/>
      <c r="P46" s="69"/>
      <c r="Q46" s="69"/>
      <c r="R46" s="69"/>
      <c r="S46" s="69"/>
      <c r="T46" s="69"/>
      <c r="U46" s="69"/>
      <c r="V46" s="69"/>
      <c r="W46" s="255">
        <f>Z20+Z29+X40</f>
        <v>0</v>
      </c>
      <c r="X46" s="255"/>
      <c r="Y46" s="255"/>
      <c r="Z46" s="70" t="s">
        <v>19</v>
      </c>
      <c r="AA46" s="77"/>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1hJlkjU8J4+mFCGbb8I7ogIn/5WbIm3cG+x2PSGdXXVB0Az9NnVrTJ8EXAZ2P2SfHnz9r98NsEwShKcKwPyzEg==" saltValue="PmWYdT3YE1xi9VNj2UX1og==" spinCount="100000"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Y43:Z43">
    <cfRule type="expression" dxfId="28" priority="23" stopIfTrue="1">
      <formula>$Y$43=0</formula>
    </cfRule>
  </conditionalFormatting>
  <conditionalFormatting sqref="Q43:R43">
    <cfRule type="expression" dxfId="27" priority="22" stopIfTrue="1">
      <formula>$Q$43=0</formula>
    </cfRule>
  </conditionalFormatting>
  <conditionalFormatting sqref="U43:V43">
    <cfRule type="expression" dxfId="26" priority="21" stopIfTrue="1">
      <formula>$U$43=0</formula>
    </cfRule>
  </conditionalFormatting>
  <conditionalFormatting sqref="L43:N43">
    <cfRule type="expression" dxfId="25" priority="20" stopIfTrue="1">
      <formula>$L$43=0</formula>
    </cfRule>
  </conditionalFormatting>
  <conditionalFormatting sqref="X8:Y8">
    <cfRule type="expression" dxfId="24" priority="18" stopIfTrue="1">
      <formula>#VALUE!</formula>
    </cfRule>
    <cfRule type="expression" dxfId="23" priority="19" stopIfTrue="1">
      <formula>#VALUE!</formula>
    </cfRule>
  </conditionalFormatting>
  <conditionalFormatting sqref="X19:Y19">
    <cfRule type="expression" dxfId="22" priority="17" stopIfTrue="1">
      <formula>#VALUE!</formula>
    </cfRule>
  </conditionalFormatting>
  <conditionalFormatting sqref="X8:Y8">
    <cfRule type="expression" dxfId="21" priority="15" stopIfTrue="1">
      <formula>#VALUE!</formula>
    </cfRule>
    <cfRule type="expression" dxfId="20" priority="16" stopIfTrue="1">
      <formula>#VALUE!</formula>
    </cfRule>
  </conditionalFormatting>
  <conditionalFormatting sqref="X19:Y19">
    <cfRule type="expression" dxfId="19" priority="14" stopIfTrue="1">
      <formula>#VALUE!</formula>
    </cfRule>
  </conditionalFormatting>
  <conditionalFormatting sqref="P8:U8">
    <cfRule type="expression" dxfId="18" priority="13" stopIfTrue="1">
      <formula>$AG$8=TRUE</formula>
    </cfRule>
  </conditionalFormatting>
  <conditionalFormatting sqref="P15:U15">
    <cfRule type="expression" dxfId="17" priority="12" stopIfTrue="1">
      <formula>$AG$15=TRUE</formula>
    </cfRule>
  </conditionalFormatting>
  <conditionalFormatting sqref="P16:U16">
    <cfRule type="expression" dxfId="16" priority="11" stopIfTrue="1">
      <formula>$AG$16=TRUE</formula>
    </cfRule>
  </conditionalFormatting>
  <conditionalFormatting sqref="P17:U17">
    <cfRule type="expression" dxfId="15" priority="10" stopIfTrue="1">
      <formula>$AG$17=TRUE</formula>
    </cfRule>
  </conditionalFormatting>
  <conditionalFormatting sqref="P18:U18">
    <cfRule type="expression" dxfId="14" priority="9" stopIfTrue="1">
      <formula>$AG$18=TRUE</formula>
    </cfRule>
  </conditionalFormatting>
  <conditionalFormatting sqref="P19:U19">
    <cfRule type="expression" dxfId="13" priority="8" stopIfTrue="1">
      <formula>$AG$19=TRUE</formula>
    </cfRule>
  </conditionalFormatting>
  <conditionalFormatting sqref="P10:U10">
    <cfRule type="expression" dxfId="12" priority="7" stopIfTrue="1">
      <formula>$AG$10=TRUE</formula>
    </cfRule>
  </conditionalFormatting>
  <conditionalFormatting sqref="P11:U11">
    <cfRule type="expression" dxfId="11" priority="6" stopIfTrue="1">
      <formula>$AG$11=TRUE</formula>
    </cfRule>
  </conditionalFormatting>
  <conditionalFormatting sqref="P14:U14">
    <cfRule type="expression" dxfId="10" priority="5" stopIfTrue="1">
      <formula>$AG$14=TRUE</formula>
    </cfRule>
  </conditionalFormatting>
  <conditionalFormatting sqref="P9:U9">
    <cfRule type="expression" dxfId="9" priority="4" stopIfTrue="1">
      <formula>$AG$9=TRUE</formula>
    </cfRule>
  </conditionalFormatting>
  <conditionalFormatting sqref="P12:U12">
    <cfRule type="expression" dxfId="8" priority="3">
      <formula>$AG$12=TRUE</formula>
    </cfRule>
  </conditionalFormatting>
  <conditionalFormatting sqref="P13:U13">
    <cfRule type="expression" dxfId="7" priority="2">
      <formula>$AG$13=TRUE</formula>
    </cfRule>
  </conditionalFormatting>
  <dataValidations count="1">
    <dataValidation type="list" allowBlank="1" showInputMessage="1" showErrorMessage="1" sqref="M14:M19 L8:L19 M8:M11 T26:T28 U26 U28" xr:uid="{2DFD988D-179A-4BD0-9841-881B68BACFAA}">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H140"/>
  <sheetViews>
    <sheetView showGridLines="0" view="pageBreakPreview" zoomScale="70" zoomScaleNormal="100" zoomScaleSheetLayoutView="70" workbookViewId="0">
      <selection activeCell="B8" sqref="B8:C8"/>
    </sheetView>
  </sheetViews>
  <sheetFormatPr defaultRowHeight="13.5"/>
  <cols>
    <col min="1" max="1" width="0.625" customWidth="1"/>
    <col min="2" max="19" width="3.875" customWidth="1"/>
    <col min="20" max="29" width="3.625" customWidth="1"/>
    <col min="30" max="31" width="11" hidden="1" customWidth="1"/>
    <col min="32" max="32" width="3.625" hidden="1" customWidth="1"/>
    <col min="33" max="34" width="9.875" hidden="1" customWidth="1"/>
    <col min="35" max="53" width="3.625" customWidth="1"/>
  </cols>
  <sheetData>
    <row r="1" spans="2:34" ht="3.75" customHeight="1"/>
    <row r="2" spans="2:34" ht="30" customHeight="1">
      <c r="B2" s="379" t="s">
        <v>38</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0"/>
      <c r="AC2" s="30"/>
    </row>
    <row r="3" spans="2:34" ht="20.100000000000001"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2:34" ht="20.100000000000001" customHeight="1" thickBot="1">
      <c r="B4" s="4" t="s">
        <v>36</v>
      </c>
      <c r="C4" s="2"/>
      <c r="D4" s="2"/>
      <c r="E4" s="2"/>
      <c r="F4" s="2"/>
      <c r="G4" s="2"/>
      <c r="H4" s="2"/>
      <c r="I4" s="2"/>
      <c r="J4" s="2"/>
      <c r="K4" s="2"/>
      <c r="L4" s="2"/>
      <c r="M4" s="2"/>
      <c r="N4" s="2"/>
      <c r="O4" s="2"/>
      <c r="P4" s="2"/>
      <c r="Q4" s="2"/>
      <c r="R4" s="2"/>
      <c r="S4" s="2"/>
      <c r="T4" s="23"/>
      <c r="U4" s="23"/>
      <c r="V4" s="23"/>
      <c r="W4" s="23"/>
      <c r="X4" s="6"/>
      <c r="Y4" s="6"/>
      <c r="Z4" s="6"/>
      <c r="AA4" s="6"/>
      <c r="AB4" s="2"/>
      <c r="AC4" s="2"/>
    </row>
    <row r="5" spans="2:34" ht="20.100000000000001" customHeight="1">
      <c r="B5" s="390" t="s">
        <v>6</v>
      </c>
      <c r="C5" s="391"/>
      <c r="D5" s="407" t="s">
        <v>153</v>
      </c>
      <c r="E5" s="408"/>
      <c r="F5" s="408"/>
      <c r="G5" s="409"/>
      <c r="H5" s="396" t="s">
        <v>154</v>
      </c>
      <c r="I5" s="391"/>
      <c r="J5" s="396" t="s">
        <v>103</v>
      </c>
      <c r="K5" s="391"/>
      <c r="L5" s="398" t="s">
        <v>9</v>
      </c>
      <c r="M5" s="399"/>
      <c r="N5" s="396" t="s">
        <v>155</v>
      </c>
      <c r="O5" s="391"/>
      <c r="P5" s="396" t="s">
        <v>156</v>
      </c>
      <c r="Q5" s="391"/>
      <c r="R5" s="396" t="s">
        <v>123</v>
      </c>
      <c r="S5" s="403"/>
      <c r="T5" s="24"/>
      <c r="U5" s="23"/>
      <c r="V5" s="23"/>
      <c r="W5" s="23"/>
      <c r="X5" s="20"/>
      <c r="Y5" s="20"/>
      <c r="Z5" s="20"/>
      <c r="AA5" s="20"/>
      <c r="AD5" s="22" t="s">
        <v>57</v>
      </c>
      <c r="AE5" s="22"/>
      <c r="AG5" s="2" t="s">
        <v>12</v>
      </c>
      <c r="AH5" s="2"/>
    </row>
    <row r="6" spans="2:34" ht="20.100000000000001" customHeight="1">
      <c r="B6" s="392"/>
      <c r="C6" s="393"/>
      <c r="D6" s="410"/>
      <c r="E6" s="411"/>
      <c r="F6" s="411"/>
      <c r="G6" s="412"/>
      <c r="H6" s="397"/>
      <c r="I6" s="393"/>
      <c r="J6" s="397"/>
      <c r="K6" s="393"/>
      <c r="L6" s="400"/>
      <c r="M6" s="401"/>
      <c r="N6" s="397"/>
      <c r="O6" s="393"/>
      <c r="P6" s="397"/>
      <c r="Q6" s="393"/>
      <c r="R6" s="393"/>
      <c r="S6" s="404"/>
      <c r="T6" s="24"/>
      <c r="U6" s="23"/>
      <c r="V6" s="23"/>
      <c r="W6" s="23"/>
      <c r="X6" s="20"/>
      <c r="Y6" s="20"/>
      <c r="Z6" s="20"/>
      <c r="AA6" s="20"/>
      <c r="AD6" s="22"/>
      <c r="AE6" s="22"/>
      <c r="AG6" s="2"/>
      <c r="AH6" s="2"/>
    </row>
    <row r="7" spans="2:34" ht="20.100000000000001" customHeight="1" thickBot="1">
      <c r="B7" s="394"/>
      <c r="C7" s="395"/>
      <c r="D7" s="329" t="s">
        <v>8</v>
      </c>
      <c r="E7" s="330"/>
      <c r="F7" s="406" t="s">
        <v>7</v>
      </c>
      <c r="G7" s="395"/>
      <c r="H7" s="395"/>
      <c r="I7" s="395"/>
      <c r="J7" s="395"/>
      <c r="K7" s="395"/>
      <c r="L7" s="402"/>
      <c r="M7" s="402"/>
      <c r="N7" s="395"/>
      <c r="O7" s="395"/>
      <c r="P7" s="395"/>
      <c r="Q7" s="395"/>
      <c r="R7" s="395"/>
      <c r="S7" s="405"/>
      <c r="T7" s="25"/>
      <c r="U7" s="26"/>
      <c r="V7" s="26"/>
      <c r="W7" s="26"/>
      <c r="X7" s="20"/>
      <c r="Y7" s="20"/>
      <c r="Z7" s="20"/>
      <c r="AA7" s="20"/>
      <c r="AD7" s="22" t="s">
        <v>55</v>
      </c>
      <c r="AE7" s="22" t="s">
        <v>53</v>
      </c>
      <c r="AG7" s="2" t="s">
        <v>4</v>
      </c>
      <c r="AH7" s="2" t="s">
        <v>16</v>
      </c>
    </row>
    <row r="8" spans="2:34" ht="20.100000000000001" customHeight="1">
      <c r="B8" s="413"/>
      <c r="C8" s="414"/>
      <c r="D8" s="311"/>
      <c r="E8" s="312"/>
      <c r="F8" s="312"/>
      <c r="G8" s="313"/>
      <c r="H8" s="263"/>
      <c r="I8" s="263"/>
      <c r="J8" s="263"/>
      <c r="K8" s="263"/>
      <c r="L8" s="335" t="s">
        <v>44</v>
      </c>
      <c r="M8" s="335"/>
      <c r="N8" s="244" t="str">
        <f>IF(D8="","",D8*F8*J8*0.93)</f>
        <v/>
      </c>
      <c r="O8" s="244"/>
      <c r="P8" s="264" t="str">
        <f>IF(D8="","",IF(共通条件・結果!$AA$7="８地域","-",D8*F8*J8*0.51))</f>
        <v/>
      </c>
      <c r="Q8" s="264"/>
      <c r="R8" s="244" t="str">
        <f>IF(D8="","",D8*F8*AD8)</f>
        <v/>
      </c>
      <c r="S8" s="247"/>
      <c r="T8" s="34"/>
      <c r="U8" s="33"/>
      <c r="V8" s="33"/>
      <c r="W8" s="33"/>
      <c r="X8" s="20"/>
      <c r="Y8" s="20"/>
      <c r="Z8" s="20"/>
      <c r="AA8" s="20"/>
      <c r="AD8" s="22">
        <f>IF(AE8="FALSE",H8,0.5*H8+0.5*(1/((1/H8)+AE8)))</f>
        <v>0</v>
      </c>
      <c r="AE8" s="21" t="str">
        <f>IF(D8="","FALSE",IF(L8="雨戸",0.1,IF(L8="ｼｬｯﾀｰ",0.1,IF(L8="障子",0.18))))</f>
        <v>FALSE</v>
      </c>
      <c r="AG8" s="22">
        <v>0.93</v>
      </c>
      <c r="AH8" s="22">
        <v>0.51</v>
      </c>
    </row>
    <row r="9" spans="2:34" ht="20.100000000000001" customHeight="1">
      <c r="B9" s="415"/>
      <c r="C9" s="416"/>
      <c r="D9" s="350"/>
      <c r="E9" s="351"/>
      <c r="F9" s="351"/>
      <c r="G9" s="352"/>
      <c r="H9" s="254"/>
      <c r="I9" s="254"/>
      <c r="J9" s="254"/>
      <c r="K9" s="254"/>
      <c r="L9" s="301" t="s">
        <v>44</v>
      </c>
      <c r="M9" s="301"/>
      <c r="N9" s="235" t="str">
        <f>IF(D9="","",D9*F9*J9*0.93)</f>
        <v/>
      </c>
      <c r="O9" s="235"/>
      <c r="P9" s="233" t="str">
        <f>IF(D9="","",IF(共通条件・結果!$AA$7="８地域","-",D9*F9*J9*0.51))</f>
        <v/>
      </c>
      <c r="Q9" s="234"/>
      <c r="R9" s="235" t="str">
        <f>IF(D9="","",D9*F9*AD9)</f>
        <v/>
      </c>
      <c r="S9" s="236"/>
      <c r="T9" s="35"/>
      <c r="U9" s="29"/>
      <c r="V9" s="29"/>
      <c r="W9" s="29"/>
      <c r="X9" s="20"/>
      <c r="Y9" s="20"/>
      <c r="Z9" s="20"/>
      <c r="AA9" s="20"/>
      <c r="AD9" s="22">
        <f t="shared" ref="AD9:AD12" si="0">IF(AE9="FALSE",H9,0.5*H9+0.5*(1/((1/H9)+AE9)))</f>
        <v>0</v>
      </c>
      <c r="AE9" s="21" t="str">
        <f>IF(D9="","FALSE",IF(L9="雨戸",0.1,IF(L9="ｼｬｯﾀｰ",0.1,IF(L9="障子",0.18))))</f>
        <v>FALSE</v>
      </c>
      <c r="AG9" s="22"/>
      <c r="AH9" s="22"/>
    </row>
    <row r="10" spans="2:34" ht="20.100000000000001" customHeight="1">
      <c r="B10" s="415"/>
      <c r="C10" s="416"/>
      <c r="D10" s="350"/>
      <c r="E10" s="351"/>
      <c r="F10" s="351"/>
      <c r="G10" s="352"/>
      <c r="H10" s="254"/>
      <c r="I10" s="254"/>
      <c r="J10" s="254"/>
      <c r="K10" s="254"/>
      <c r="L10" s="301" t="s">
        <v>44</v>
      </c>
      <c r="M10" s="301"/>
      <c r="N10" s="235" t="str">
        <f>IF(D10="","",D10*F10*J10*0.93)</f>
        <v/>
      </c>
      <c r="O10" s="235"/>
      <c r="P10" s="233" t="str">
        <f>IF(D10="","",IF(共通条件・結果!$AA$7="８地域","-",D10*F10*J10*0.51))</f>
        <v/>
      </c>
      <c r="Q10" s="234"/>
      <c r="R10" s="235" t="str">
        <f>IF(D10="","",D10*F10*AD10)</f>
        <v/>
      </c>
      <c r="S10" s="236"/>
      <c r="T10" s="35"/>
      <c r="U10" s="29"/>
      <c r="V10" s="29"/>
      <c r="W10" s="29"/>
      <c r="X10" s="20"/>
      <c r="Y10" s="20"/>
      <c r="Z10" s="20"/>
      <c r="AA10" s="20"/>
      <c r="AD10" s="22">
        <f t="shared" si="0"/>
        <v>0</v>
      </c>
      <c r="AE10" s="21" t="str">
        <f>IF(D10="","FALSE",IF(L10="雨戸",0.1,IF(L10="ｼｬｯﾀｰ",0.1,IF(L10="障子",0.18))))</f>
        <v>FALSE</v>
      </c>
      <c r="AG10" s="22"/>
      <c r="AH10" s="22"/>
    </row>
    <row r="11" spans="2:34" ht="20.100000000000001" customHeight="1">
      <c r="B11" s="415"/>
      <c r="C11" s="416"/>
      <c r="D11" s="350"/>
      <c r="E11" s="351"/>
      <c r="F11" s="351"/>
      <c r="G11" s="352"/>
      <c r="H11" s="254"/>
      <c r="I11" s="254"/>
      <c r="J11" s="254"/>
      <c r="K11" s="254"/>
      <c r="L11" s="301" t="s">
        <v>44</v>
      </c>
      <c r="M11" s="301"/>
      <c r="N11" s="235" t="str">
        <f>IF(D11="","",D11*F11*J11*0.93)</f>
        <v/>
      </c>
      <c r="O11" s="235"/>
      <c r="P11" s="233" t="str">
        <f>IF(D11="","",IF(共通条件・結果!$AA$7="８地域","-",D11*F11*J11*0.51))</f>
        <v/>
      </c>
      <c r="Q11" s="234"/>
      <c r="R11" s="235" t="str">
        <f>IF(D11="","",D11*F11*AD11)</f>
        <v/>
      </c>
      <c r="S11" s="236"/>
      <c r="T11" s="34"/>
      <c r="U11" s="33"/>
      <c r="V11" s="33"/>
      <c r="W11" s="33"/>
      <c r="X11" s="20"/>
      <c r="Y11" s="20"/>
      <c r="Z11" s="20"/>
      <c r="AA11" s="20"/>
      <c r="AD11" s="22">
        <f t="shared" si="0"/>
        <v>0</v>
      </c>
      <c r="AE11" s="21" t="str">
        <f>IF(D11="","FALSE",IF(L11="雨戸",0.1,IF(L11="ｼｬｯﾀｰ",0.1,IF(L11="障子",0.18))))</f>
        <v>FALSE</v>
      </c>
      <c r="AG11" s="22"/>
      <c r="AH11" s="22"/>
    </row>
    <row r="12" spans="2:34" ht="20.100000000000001" customHeight="1" thickBot="1">
      <c r="B12" s="422"/>
      <c r="C12" s="423"/>
      <c r="D12" s="350"/>
      <c r="E12" s="351"/>
      <c r="F12" s="351"/>
      <c r="G12" s="352"/>
      <c r="H12" s="254"/>
      <c r="I12" s="254"/>
      <c r="J12" s="254"/>
      <c r="K12" s="254"/>
      <c r="L12" s="335"/>
      <c r="M12" s="335"/>
      <c r="N12" s="244" t="str">
        <f>IF(D12="","",D12*F12*J12*0.93)</f>
        <v/>
      </c>
      <c r="O12" s="244"/>
      <c r="P12" s="233" t="str">
        <f>IF(D12="","",IF(共通条件・結果!$AA$7="８地域","-",D12*F12*J12*0.51))</f>
        <v/>
      </c>
      <c r="Q12" s="234"/>
      <c r="R12" s="235" t="str">
        <f>IF(D12="","",D12*F12*AD12)</f>
        <v/>
      </c>
      <c r="S12" s="236"/>
      <c r="T12" s="34"/>
      <c r="U12" s="33"/>
      <c r="V12" s="33"/>
      <c r="W12" s="33"/>
      <c r="X12" s="20"/>
      <c r="Y12" s="20"/>
      <c r="Z12" s="20"/>
      <c r="AA12" s="20"/>
      <c r="AD12" s="22">
        <f t="shared" si="0"/>
        <v>0</v>
      </c>
      <c r="AE12" s="21" t="str">
        <f>IF(D12="","FALSE",IF(L12="雨戸",0.1,IF(L12="ｼｬｯﾀｰ",0.1,IF(L12="障子",0.18))))</f>
        <v>FALSE</v>
      </c>
      <c r="AG12" s="22"/>
      <c r="AH12" s="22"/>
    </row>
    <row r="13" spans="2:34" ht="20.100000000000001" customHeight="1" thickBot="1">
      <c r="B13" s="424" t="s">
        <v>74</v>
      </c>
      <c r="C13" s="425"/>
      <c r="D13" s="425"/>
      <c r="E13" s="425"/>
      <c r="F13" s="425"/>
      <c r="G13" s="425"/>
      <c r="H13" s="425"/>
      <c r="I13" s="425"/>
      <c r="J13" s="425"/>
      <c r="K13" s="425"/>
      <c r="L13" s="425"/>
      <c r="M13" s="426"/>
      <c r="N13" s="220">
        <f>SUM(N8:O12)</f>
        <v>0</v>
      </c>
      <c r="O13" s="220"/>
      <c r="P13" s="220">
        <f>IF(共通条件・結果!AA7="８地域","-",SUM(P8:Q12))</f>
        <v>0</v>
      </c>
      <c r="Q13" s="220"/>
      <c r="R13" s="220">
        <f>SUM(R8:S12)</f>
        <v>0</v>
      </c>
      <c r="S13" s="221"/>
      <c r="T13" s="36"/>
      <c r="U13" s="37"/>
      <c r="V13" s="37"/>
      <c r="W13" s="37"/>
      <c r="X13" s="20"/>
      <c r="Y13" s="20"/>
      <c r="Z13" s="20"/>
      <c r="AA13" s="20"/>
      <c r="AD13" s="22"/>
      <c r="AE13" s="21"/>
    </row>
    <row r="14" spans="2:34" ht="20.100000000000001" customHeight="1">
      <c r="B14" s="31"/>
      <c r="C14" s="31"/>
      <c r="D14" s="31"/>
      <c r="E14" s="31"/>
      <c r="F14" s="31"/>
      <c r="G14" s="31"/>
      <c r="H14" s="31"/>
      <c r="I14" s="31"/>
      <c r="J14" s="31"/>
      <c r="K14" s="31"/>
      <c r="L14" s="31"/>
      <c r="M14" s="31"/>
      <c r="N14" s="31"/>
      <c r="O14" s="31"/>
      <c r="P14" s="31"/>
      <c r="Q14" s="31"/>
      <c r="R14" s="31"/>
      <c r="S14" s="31"/>
      <c r="T14" s="31"/>
      <c r="U14" s="31"/>
      <c r="V14" s="31"/>
      <c r="W14" s="31"/>
      <c r="X14" s="2"/>
      <c r="Y14" s="2"/>
      <c r="Z14" s="2"/>
      <c r="AA14" s="2"/>
      <c r="AB14" s="2"/>
      <c r="AC14" s="2"/>
      <c r="AD14" s="22"/>
      <c r="AE14" s="21"/>
    </row>
    <row r="15" spans="2:34" ht="20.100000000000001" customHeight="1" thickBot="1">
      <c r="B15" s="32" t="s">
        <v>39</v>
      </c>
      <c r="C15" s="31"/>
      <c r="D15" s="31"/>
      <c r="E15" s="31"/>
      <c r="F15" s="31"/>
      <c r="G15" s="31"/>
      <c r="H15" s="31"/>
      <c r="I15" s="31"/>
      <c r="J15" s="31"/>
      <c r="K15" s="31"/>
      <c r="L15" s="31"/>
      <c r="M15" s="31"/>
      <c r="N15" s="31"/>
      <c r="O15" s="31"/>
      <c r="P15" s="31"/>
      <c r="Q15" s="31"/>
      <c r="R15" s="31"/>
      <c r="S15" s="31"/>
      <c r="T15" s="31"/>
      <c r="U15" s="31"/>
      <c r="V15" s="31"/>
      <c r="W15" s="31"/>
      <c r="X15" s="2"/>
      <c r="Y15" s="2"/>
      <c r="Z15" s="2"/>
      <c r="AA15" s="2"/>
      <c r="AB15" s="2"/>
      <c r="AC15" s="2"/>
    </row>
    <row r="16" spans="2:34" ht="20.100000000000001" customHeight="1">
      <c r="B16" s="427" t="s">
        <v>0</v>
      </c>
      <c r="C16" s="428"/>
      <c r="D16" s="396" t="s">
        <v>43</v>
      </c>
      <c r="E16" s="391"/>
      <c r="F16" s="396" t="s">
        <v>162</v>
      </c>
      <c r="G16" s="391"/>
      <c r="H16" s="396" t="s">
        <v>160</v>
      </c>
      <c r="I16" s="391"/>
      <c r="J16" s="398" t="s">
        <v>163</v>
      </c>
      <c r="K16" s="399"/>
      <c r="L16" s="417" t="s">
        <v>154</v>
      </c>
      <c r="M16" s="409"/>
      <c r="N16" s="417" t="s">
        <v>59</v>
      </c>
      <c r="O16" s="409"/>
      <c r="P16" s="396" t="s">
        <v>158</v>
      </c>
      <c r="Q16" s="391"/>
      <c r="R16" s="396" t="s">
        <v>156</v>
      </c>
      <c r="S16" s="391"/>
      <c r="T16" s="396" t="s">
        <v>123</v>
      </c>
      <c r="U16" s="403"/>
    </row>
    <row r="17" spans="2:30" ht="20.100000000000001" customHeight="1">
      <c r="B17" s="429"/>
      <c r="C17" s="430"/>
      <c r="D17" s="397"/>
      <c r="E17" s="393"/>
      <c r="F17" s="397"/>
      <c r="G17" s="393"/>
      <c r="H17" s="397"/>
      <c r="I17" s="393"/>
      <c r="J17" s="400"/>
      <c r="K17" s="401"/>
      <c r="L17" s="418"/>
      <c r="M17" s="419"/>
      <c r="N17" s="418"/>
      <c r="O17" s="419"/>
      <c r="P17" s="397"/>
      <c r="Q17" s="393"/>
      <c r="R17" s="397"/>
      <c r="S17" s="393"/>
      <c r="T17" s="393"/>
      <c r="U17" s="404"/>
    </row>
    <row r="18" spans="2:30" ht="20.100000000000001" customHeight="1" thickBot="1">
      <c r="B18" s="431"/>
      <c r="C18" s="432"/>
      <c r="D18" s="395"/>
      <c r="E18" s="395"/>
      <c r="F18" s="395"/>
      <c r="G18" s="395"/>
      <c r="H18" s="395"/>
      <c r="I18" s="395"/>
      <c r="J18" s="402"/>
      <c r="K18" s="402"/>
      <c r="L18" s="420"/>
      <c r="M18" s="421"/>
      <c r="N18" s="420"/>
      <c r="O18" s="421"/>
      <c r="P18" s="395"/>
      <c r="Q18" s="395"/>
      <c r="R18" s="395"/>
      <c r="S18" s="395"/>
      <c r="T18" s="395"/>
      <c r="U18" s="405"/>
      <c r="AD18" s="1"/>
    </row>
    <row r="19" spans="2:30" ht="20.100000000000001" customHeight="1">
      <c r="B19" s="413"/>
      <c r="C19" s="433"/>
      <c r="D19" s="434"/>
      <c r="E19" s="435"/>
      <c r="F19" s="259"/>
      <c r="G19" s="260"/>
      <c r="H19" s="259"/>
      <c r="I19" s="260"/>
      <c r="J19" s="436" t="str">
        <f>IF(F19="","",F19-H19)</f>
        <v/>
      </c>
      <c r="K19" s="437"/>
      <c r="L19" s="434"/>
      <c r="M19" s="435"/>
      <c r="N19" s="442"/>
      <c r="O19" s="443"/>
      <c r="P19" s="438" t="str">
        <f t="shared" ref="P19:P26" si="1">IF($D19="","",IF(OR($D19="外気床",$D19="その他床"),0,IF(OR($D19="屋根",$D19="天井"),J19*L19*0.034)))</f>
        <v/>
      </c>
      <c r="Q19" s="439"/>
      <c r="R19" s="440" t="str">
        <f>IF(D19="","",IF(共通条件・結果!$AA$7="８地域","-",IF($D19="　","",IF(OR($D19="外気床",$D19="その他床"),0,IF(OR($D19="屋根",$D19="天井"),J19*L19*0.034)))))</f>
        <v/>
      </c>
      <c r="S19" s="441"/>
      <c r="T19" s="362" t="str">
        <f t="shared" ref="T19:T26" si="2">IF(F19="","",J19*L19*N19)</f>
        <v/>
      </c>
      <c r="U19" s="389"/>
      <c r="AD19" s="27"/>
    </row>
    <row r="20" spans="2:30" ht="20.100000000000001" customHeight="1">
      <c r="B20" s="415"/>
      <c r="C20" s="444"/>
      <c r="D20" s="250"/>
      <c r="E20" s="251"/>
      <c r="F20" s="250"/>
      <c r="G20" s="251"/>
      <c r="H20" s="250"/>
      <c r="I20" s="251"/>
      <c r="J20" s="445" t="str">
        <f t="shared" ref="J20:J26" si="3">IF(F20="","",F20-H20)</f>
        <v/>
      </c>
      <c r="K20" s="446"/>
      <c r="L20" s="250"/>
      <c r="M20" s="251"/>
      <c r="N20" s="447"/>
      <c r="O20" s="448"/>
      <c r="P20" s="233" t="str">
        <f t="shared" si="1"/>
        <v/>
      </c>
      <c r="Q20" s="234"/>
      <c r="R20" s="233" t="str">
        <f>IF(D20="","",IF(共通条件・結果!$AA$7="８地域","-",IF($D20="　","",IF(OR($D20="外気床",$D20="その他床"),0,IF(OR($D20="屋根",$D20="天井"),J20*L20*0.034)))))</f>
        <v/>
      </c>
      <c r="S20" s="234"/>
      <c r="T20" s="235" t="str">
        <f t="shared" si="2"/>
        <v/>
      </c>
      <c r="U20" s="236"/>
      <c r="AD20" s="57"/>
    </row>
    <row r="21" spans="2:30" ht="20.100000000000001" customHeight="1">
      <c r="B21" s="415"/>
      <c r="C21" s="444"/>
      <c r="D21" s="250"/>
      <c r="E21" s="251"/>
      <c r="F21" s="250"/>
      <c r="G21" s="251"/>
      <c r="H21" s="250"/>
      <c r="I21" s="251"/>
      <c r="J21" s="445" t="str">
        <f t="shared" si="3"/>
        <v/>
      </c>
      <c r="K21" s="446"/>
      <c r="L21" s="250"/>
      <c r="M21" s="251"/>
      <c r="N21" s="447"/>
      <c r="O21" s="448"/>
      <c r="P21" s="233" t="str">
        <f t="shared" si="1"/>
        <v/>
      </c>
      <c r="Q21" s="234"/>
      <c r="R21" s="233" t="str">
        <f>IF(D21="","",IF(共通条件・結果!$AA$7="８地域","-",IF($D21="　","",IF(OR($D21="外気床",$D21="その他床"),0,IF(OR($D21="屋根",$D21="天井"),J21*L21*0.034)))))</f>
        <v/>
      </c>
      <c r="S21" s="234"/>
      <c r="T21" s="235" t="str">
        <f t="shared" si="2"/>
        <v/>
      </c>
      <c r="U21" s="236"/>
      <c r="AD21" s="28"/>
    </row>
    <row r="22" spans="2:30" ht="20.100000000000001" customHeight="1">
      <c r="B22" s="415"/>
      <c r="C22" s="444"/>
      <c r="D22" s="250"/>
      <c r="E22" s="251"/>
      <c r="F22" s="250"/>
      <c r="G22" s="251"/>
      <c r="H22" s="250"/>
      <c r="I22" s="251"/>
      <c r="J22" s="445" t="str">
        <f t="shared" si="3"/>
        <v/>
      </c>
      <c r="K22" s="446"/>
      <c r="L22" s="250"/>
      <c r="M22" s="251"/>
      <c r="N22" s="447"/>
      <c r="O22" s="448"/>
      <c r="P22" s="233" t="str">
        <f t="shared" si="1"/>
        <v/>
      </c>
      <c r="Q22" s="234"/>
      <c r="R22" s="233" t="str">
        <f>IF(D22="","",IF(共通条件・結果!$AA$7="８地域","-",IF($D22="　","",IF(OR($D22="外気床",$D22="その他床"),0,IF(OR($D22="屋根",$D22="天井"),J22*L22*0.034)))))</f>
        <v/>
      </c>
      <c r="S22" s="234"/>
      <c r="T22" s="235" t="str">
        <f t="shared" si="2"/>
        <v/>
      </c>
      <c r="U22" s="236"/>
      <c r="AD22" s="28"/>
    </row>
    <row r="23" spans="2:30" ht="20.100000000000001" customHeight="1">
      <c r="B23" s="415"/>
      <c r="C23" s="444"/>
      <c r="D23" s="250"/>
      <c r="E23" s="251"/>
      <c r="F23" s="250"/>
      <c r="G23" s="251"/>
      <c r="H23" s="250"/>
      <c r="I23" s="251"/>
      <c r="J23" s="445" t="str">
        <f t="shared" si="3"/>
        <v/>
      </c>
      <c r="K23" s="446"/>
      <c r="L23" s="250"/>
      <c r="M23" s="251"/>
      <c r="N23" s="447"/>
      <c r="O23" s="448"/>
      <c r="P23" s="233" t="str">
        <f t="shared" si="1"/>
        <v/>
      </c>
      <c r="Q23" s="234"/>
      <c r="R23" s="233" t="str">
        <f>IF(D23="","",IF(共通条件・結果!$AA$7="８地域","-",IF($D23="　","",IF(OR($D23="外気床",$D23="その他床"),0,IF(OR($D23="屋根",$D23="天井"),J23*L23*0.034)))))</f>
        <v/>
      </c>
      <c r="S23" s="234"/>
      <c r="T23" s="235" t="str">
        <f t="shared" si="2"/>
        <v/>
      </c>
      <c r="U23" s="236"/>
      <c r="AD23" s="28"/>
    </row>
    <row r="24" spans="2:30" ht="20.100000000000001" customHeight="1">
      <c r="B24" s="415"/>
      <c r="C24" s="444"/>
      <c r="D24" s="250"/>
      <c r="E24" s="251"/>
      <c r="F24" s="250"/>
      <c r="G24" s="251"/>
      <c r="H24" s="250"/>
      <c r="I24" s="251"/>
      <c r="J24" s="445" t="str">
        <f t="shared" si="3"/>
        <v/>
      </c>
      <c r="K24" s="446"/>
      <c r="L24" s="250"/>
      <c r="M24" s="251"/>
      <c r="N24" s="447"/>
      <c r="O24" s="448"/>
      <c r="P24" s="233" t="str">
        <f t="shared" si="1"/>
        <v/>
      </c>
      <c r="Q24" s="234"/>
      <c r="R24" s="233" t="str">
        <f>IF(D24="","",IF(共通条件・結果!$AA$7="８地域","-",IF($D24="　","",IF(OR($D24="外気床",$D24="その他床"),0,IF(OR($D24="屋根",$D24="天井"),J24*L24*0.034)))))</f>
        <v/>
      </c>
      <c r="S24" s="234"/>
      <c r="T24" s="235" t="str">
        <f t="shared" si="2"/>
        <v/>
      </c>
      <c r="U24" s="236"/>
      <c r="AD24" s="28"/>
    </row>
    <row r="25" spans="2:30" ht="20.100000000000001" customHeight="1">
      <c r="B25" s="415"/>
      <c r="C25" s="444"/>
      <c r="D25" s="250"/>
      <c r="E25" s="251"/>
      <c r="F25" s="250"/>
      <c r="G25" s="251"/>
      <c r="H25" s="250"/>
      <c r="I25" s="251"/>
      <c r="J25" s="445" t="str">
        <f t="shared" si="3"/>
        <v/>
      </c>
      <c r="K25" s="446"/>
      <c r="L25" s="250"/>
      <c r="M25" s="251"/>
      <c r="N25" s="447"/>
      <c r="O25" s="448"/>
      <c r="P25" s="449" t="str">
        <f t="shared" si="1"/>
        <v/>
      </c>
      <c r="Q25" s="450"/>
      <c r="R25" s="233" t="str">
        <f>IF(D25="","",IF(共通条件・結果!$AA$7="８地域","-",IF($D25="　","",IF(OR($D25="外気床",$D25="その他床"),0,IF(OR($D25="屋根",$D25="天井"),J25*L25*0.034)))))</f>
        <v/>
      </c>
      <c r="S25" s="234"/>
      <c r="T25" s="235" t="str">
        <f t="shared" si="2"/>
        <v/>
      </c>
      <c r="U25" s="236"/>
      <c r="AD25" s="28"/>
    </row>
    <row r="26" spans="2:30" ht="20.100000000000001" customHeight="1" thickBot="1">
      <c r="B26" s="457"/>
      <c r="C26" s="458"/>
      <c r="D26" s="459"/>
      <c r="E26" s="460"/>
      <c r="F26" s="461"/>
      <c r="G26" s="462"/>
      <c r="H26" s="461"/>
      <c r="I26" s="462"/>
      <c r="J26" s="463" t="str">
        <f t="shared" si="3"/>
        <v/>
      </c>
      <c r="K26" s="464"/>
      <c r="L26" s="459"/>
      <c r="M26" s="460"/>
      <c r="N26" s="465"/>
      <c r="O26" s="466"/>
      <c r="P26" s="451" t="str">
        <f t="shared" si="1"/>
        <v/>
      </c>
      <c r="Q26" s="452"/>
      <c r="R26" s="451" t="str">
        <f>IF(D26="","",IF(共通条件・結果!$AA$7="８地域","-",IF($D26="　","",IF(OR($D26="外気床",$D26="その他床"),0,IF(OR($D26="屋根",$D26="天井"),J26*L26*0.034)))))</f>
        <v/>
      </c>
      <c r="S26" s="452"/>
      <c r="T26" s="453" t="str">
        <f t="shared" si="2"/>
        <v/>
      </c>
      <c r="U26" s="454"/>
      <c r="AD26" s="28"/>
    </row>
    <row r="27" spans="2:30" ht="20.100000000000001" customHeight="1" thickBot="1">
      <c r="B27" s="467" t="s">
        <v>73</v>
      </c>
      <c r="C27" s="468"/>
      <c r="D27" s="468"/>
      <c r="E27" s="468"/>
      <c r="F27" s="468"/>
      <c r="G27" s="468"/>
      <c r="H27" s="468"/>
      <c r="I27" s="468"/>
      <c r="J27" s="468"/>
      <c r="K27" s="468"/>
      <c r="L27" s="468"/>
      <c r="M27" s="468"/>
      <c r="N27" s="468"/>
      <c r="O27" s="469"/>
      <c r="P27" s="455">
        <f>SUM(P19:Q26)</f>
        <v>0</v>
      </c>
      <c r="Q27" s="456"/>
      <c r="R27" s="455">
        <f>IF(共通条件・結果!AA7="８地域","-",SUM(R19:S26))</f>
        <v>0</v>
      </c>
      <c r="S27" s="456"/>
      <c r="T27" s="220">
        <f>SUM(T19:U26)</f>
        <v>0</v>
      </c>
      <c r="U27" s="221"/>
    </row>
    <row r="28" spans="2:30" ht="20.100000000000001" customHeight="1">
      <c r="B28" s="2" t="s">
        <v>169</v>
      </c>
      <c r="C28" s="2"/>
      <c r="D28" s="2"/>
      <c r="E28" s="2"/>
      <c r="F28" s="2"/>
      <c r="G28" s="2"/>
      <c r="H28" s="2"/>
      <c r="I28" s="2"/>
      <c r="J28" s="2"/>
      <c r="K28" s="2"/>
      <c r="L28" s="2"/>
      <c r="M28" s="2"/>
      <c r="N28" s="2"/>
      <c r="O28" s="2"/>
      <c r="P28" s="2"/>
      <c r="Q28" s="2"/>
    </row>
    <row r="29" spans="2:30" ht="20.100000000000001" customHeight="1">
      <c r="B29" s="2"/>
      <c r="C29" s="2"/>
      <c r="D29" s="2"/>
      <c r="E29" s="2"/>
      <c r="F29" s="2"/>
      <c r="G29" s="2"/>
      <c r="H29" s="2"/>
      <c r="I29" s="2"/>
      <c r="J29" s="2"/>
      <c r="K29" s="2"/>
      <c r="L29" s="2"/>
      <c r="M29" s="2"/>
      <c r="N29" s="2"/>
      <c r="O29" s="2"/>
      <c r="P29" s="2"/>
      <c r="Q29" s="2"/>
    </row>
    <row r="30" spans="2:30" ht="20.100000000000001" customHeight="1">
      <c r="B30" s="43"/>
      <c r="C30" s="6"/>
      <c r="D30" s="6"/>
      <c r="E30" s="6"/>
      <c r="F30" s="6"/>
      <c r="G30" s="6"/>
      <c r="H30" s="6"/>
      <c r="I30" s="6"/>
      <c r="J30" s="6"/>
      <c r="K30" s="6"/>
      <c r="L30" s="6"/>
      <c r="M30" s="6"/>
      <c r="N30" s="6"/>
      <c r="O30" s="6"/>
      <c r="P30" s="6"/>
      <c r="Q30" s="6"/>
      <c r="R30" s="6"/>
      <c r="S30" s="6"/>
      <c r="T30" s="2"/>
      <c r="U30" s="2"/>
      <c r="V30" s="2"/>
      <c r="W30" s="2"/>
      <c r="X30" s="2"/>
      <c r="Y30" s="2"/>
      <c r="Z30" s="2"/>
      <c r="AA30" s="2"/>
      <c r="AB30" s="2"/>
      <c r="AC30" s="2"/>
    </row>
    <row r="31" spans="2:30" ht="20.100000000000001" customHeight="1" thickBot="1">
      <c r="B31" s="4" t="s">
        <v>83</v>
      </c>
      <c r="C31" s="2"/>
      <c r="D31" s="2"/>
      <c r="E31" s="2"/>
      <c r="F31" s="2"/>
      <c r="G31" s="2"/>
      <c r="H31" s="2"/>
      <c r="I31" s="2"/>
      <c r="J31" s="2"/>
      <c r="K31" s="2"/>
      <c r="L31" s="2"/>
      <c r="M31" s="2"/>
      <c r="N31" s="2"/>
      <c r="O31" s="2"/>
      <c r="P31" s="2"/>
      <c r="Q31" s="2"/>
      <c r="R31" s="2"/>
      <c r="S31" s="8"/>
      <c r="T31" s="8"/>
      <c r="U31" s="8"/>
      <c r="V31" s="8"/>
      <c r="W31" s="8"/>
      <c r="X31" s="8"/>
      <c r="Y31" s="8"/>
      <c r="Z31" s="2"/>
      <c r="AA31" s="2"/>
      <c r="AB31" s="2"/>
      <c r="AC31" s="2"/>
    </row>
    <row r="32" spans="2:30" ht="20.100000000000001" customHeight="1">
      <c r="B32" s="470" t="s">
        <v>40</v>
      </c>
      <c r="C32" s="471"/>
      <c r="D32" s="149" t="s">
        <v>37</v>
      </c>
      <c r="E32" s="150"/>
      <c r="F32" s="150"/>
      <c r="G32" s="150"/>
      <c r="H32" s="150"/>
      <c r="I32" s="150"/>
      <c r="J32" s="151"/>
      <c r="K32" s="10"/>
      <c r="L32" s="44"/>
      <c r="M32" s="44"/>
      <c r="N32" s="10"/>
      <c r="O32" s="11"/>
      <c r="P32" s="476">
        <f>T32+Y32</f>
        <v>0</v>
      </c>
      <c r="Q32" s="476"/>
      <c r="R32" s="10" t="s">
        <v>84</v>
      </c>
      <c r="S32" s="11" t="s">
        <v>41</v>
      </c>
      <c r="T32" s="477">
        <f>D8*F8+D9*F9+D10*F10+D11*F11+D12*F12</f>
        <v>0</v>
      </c>
      <c r="U32" s="477"/>
      <c r="V32" s="45" t="s">
        <v>85</v>
      </c>
      <c r="W32" s="211" t="s">
        <v>86</v>
      </c>
      <c r="X32" s="211"/>
      <c r="Y32" s="477">
        <f>SUM(J19:K26)</f>
        <v>0</v>
      </c>
      <c r="Z32" s="477"/>
      <c r="AA32" s="46" t="s">
        <v>87</v>
      </c>
      <c r="AB32" s="6"/>
      <c r="AC32" s="6"/>
    </row>
    <row r="33" spans="2:29" ht="20.100000000000001" customHeight="1">
      <c r="B33" s="472"/>
      <c r="C33" s="473"/>
      <c r="D33" s="154" t="s">
        <v>47</v>
      </c>
      <c r="E33" s="155"/>
      <c r="F33" s="155"/>
      <c r="G33" s="155"/>
      <c r="H33" s="155"/>
      <c r="I33" s="155"/>
      <c r="J33" s="156"/>
      <c r="K33" s="9"/>
      <c r="L33" s="9"/>
      <c r="M33" s="9"/>
      <c r="N33" s="9"/>
      <c r="O33" s="9"/>
      <c r="P33" s="9"/>
      <c r="Q33" s="9"/>
      <c r="R33" s="9"/>
      <c r="S33" s="9"/>
      <c r="T33" s="9"/>
      <c r="U33" s="9"/>
      <c r="V33" s="9"/>
      <c r="W33" s="215">
        <f>N13+P27</f>
        <v>0</v>
      </c>
      <c r="X33" s="215"/>
      <c r="Y33" s="215"/>
      <c r="Z33" s="478" t="s">
        <v>126</v>
      </c>
      <c r="AA33" s="479"/>
      <c r="AB33" s="6"/>
      <c r="AC33" s="6"/>
    </row>
    <row r="34" spans="2:29" ht="20.100000000000001" customHeight="1">
      <c r="B34" s="472"/>
      <c r="C34" s="473"/>
      <c r="D34" s="154" t="s">
        <v>48</v>
      </c>
      <c r="E34" s="155"/>
      <c r="F34" s="155"/>
      <c r="G34" s="155"/>
      <c r="H34" s="155"/>
      <c r="I34" s="155"/>
      <c r="J34" s="156"/>
      <c r="K34" s="9"/>
      <c r="L34" s="9"/>
      <c r="M34" s="9"/>
      <c r="N34" s="9"/>
      <c r="O34" s="9"/>
      <c r="P34" s="9"/>
      <c r="Q34" s="9"/>
      <c r="R34" s="9"/>
      <c r="S34" s="9"/>
      <c r="T34" s="9"/>
      <c r="U34" s="9"/>
      <c r="V34" s="9"/>
      <c r="W34" s="215">
        <f>IF(共通条件・結果!AA7="８地域","-",P13+R27)</f>
        <v>0</v>
      </c>
      <c r="X34" s="215"/>
      <c r="Y34" s="215"/>
      <c r="Z34" s="478" t="s">
        <v>126</v>
      </c>
      <c r="AA34" s="479"/>
      <c r="AB34" s="6"/>
      <c r="AC34" s="6"/>
    </row>
    <row r="35" spans="2:29" ht="20.100000000000001" customHeight="1" thickBot="1">
      <c r="B35" s="474"/>
      <c r="C35" s="475"/>
      <c r="D35" s="142" t="s">
        <v>18</v>
      </c>
      <c r="E35" s="143"/>
      <c r="F35" s="143"/>
      <c r="G35" s="143"/>
      <c r="H35" s="143"/>
      <c r="I35" s="143"/>
      <c r="J35" s="144"/>
      <c r="K35" s="8"/>
      <c r="L35" s="8"/>
      <c r="M35" s="8"/>
      <c r="N35" s="8"/>
      <c r="O35" s="8"/>
      <c r="P35" s="8"/>
      <c r="Q35" s="8"/>
      <c r="R35" s="8"/>
      <c r="S35" s="8"/>
      <c r="T35" s="8"/>
      <c r="U35" s="8"/>
      <c r="V35" s="8"/>
      <c r="W35" s="255">
        <f>R13+T27</f>
        <v>0</v>
      </c>
      <c r="X35" s="255"/>
      <c r="Y35" s="255"/>
      <c r="Z35" s="47" t="s">
        <v>88</v>
      </c>
      <c r="AA35" s="48"/>
      <c r="AB35" s="6"/>
      <c r="AC35" s="6"/>
    </row>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algorithmName="SHA-512" hashValue="S9qlTjLAxLEDuPhQseAC5MARxBvztx36ntF4llt6XB5LBGl0rDI+1Hj3ztbA6Wd8KauAgFjolnDmrr6kkVNwGA==" saltValue="C88xv1c1ohZGzU6Wc3YV5w==" spinCount="100000" sheet="1" objects="1" scenarios="1" selectLockedCells="1"/>
  <mergeCells count="168">
    <mergeCell ref="D35:J35"/>
    <mergeCell ref="W35:Y35"/>
    <mergeCell ref="B32:C35"/>
    <mergeCell ref="D32:J32"/>
    <mergeCell ref="P32:Q32"/>
    <mergeCell ref="T32:U32"/>
    <mergeCell ref="W32:X32"/>
    <mergeCell ref="Y32:Z32"/>
    <mergeCell ref="D33:J33"/>
    <mergeCell ref="W33:Y33"/>
    <mergeCell ref="D34:J34"/>
    <mergeCell ref="W34:Y34"/>
    <mergeCell ref="Z33:AA33"/>
    <mergeCell ref="Z34:AA34"/>
    <mergeCell ref="P26:Q26"/>
    <mergeCell ref="R26:S26"/>
    <mergeCell ref="T26:U26"/>
    <mergeCell ref="P27:Q27"/>
    <mergeCell ref="R27:S27"/>
    <mergeCell ref="T27:U27"/>
    <mergeCell ref="B26:C26"/>
    <mergeCell ref="D26:E26"/>
    <mergeCell ref="F26:G26"/>
    <mergeCell ref="H26:I26"/>
    <mergeCell ref="J26:K26"/>
    <mergeCell ref="L26:M26"/>
    <mergeCell ref="N26:O26"/>
    <mergeCell ref="B27:O27"/>
    <mergeCell ref="T24:U24"/>
    <mergeCell ref="P25:Q25"/>
    <mergeCell ref="R25:S25"/>
    <mergeCell ref="T25:U25"/>
    <mergeCell ref="B24:C24"/>
    <mergeCell ref="D24:E24"/>
    <mergeCell ref="F24:G24"/>
    <mergeCell ref="H24:I24"/>
    <mergeCell ref="J24:K24"/>
    <mergeCell ref="L24:M24"/>
    <mergeCell ref="P24:Q24"/>
    <mergeCell ref="R24:S24"/>
    <mergeCell ref="B25:C25"/>
    <mergeCell ref="D25:E25"/>
    <mergeCell ref="F25:G25"/>
    <mergeCell ref="H25:I25"/>
    <mergeCell ref="J25:K25"/>
    <mergeCell ref="L25:M25"/>
    <mergeCell ref="N24:O24"/>
    <mergeCell ref="N25:O25"/>
    <mergeCell ref="B23:C23"/>
    <mergeCell ref="D23:E23"/>
    <mergeCell ref="F23:G23"/>
    <mergeCell ref="H23:I23"/>
    <mergeCell ref="J23:K23"/>
    <mergeCell ref="L23:M23"/>
    <mergeCell ref="P23:Q23"/>
    <mergeCell ref="R23:S23"/>
    <mergeCell ref="T23:U23"/>
    <mergeCell ref="N23:O23"/>
    <mergeCell ref="B22:C22"/>
    <mergeCell ref="D22:E22"/>
    <mergeCell ref="F22:G22"/>
    <mergeCell ref="H22:I22"/>
    <mergeCell ref="J22:K22"/>
    <mergeCell ref="L22:M22"/>
    <mergeCell ref="P22:Q22"/>
    <mergeCell ref="R22:S22"/>
    <mergeCell ref="T22:U22"/>
    <mergeCell ref="N22:O22"/>
    <mergeCell ref="B21:C21"/>
    <mergeCell ref="D21:E21"/>
    <mergeCell ref="F21:G21"/>
    <mergeCell ref="H21:I21"/>
    <mergeCell ref="J21:K21"/>
    <mergeCell ref="L21:M21"/>
    <mergeCell ref="P21:Q21"/>
    <mergeCell ref="R21:S21"/>
    <mergeCell ref="T21:U21"/>
    <mergeCell ref="N21:O21"/>
    <mergeCell ref="B20:C20"/>
    <mergeCell ref="D20:E20"/>
    <mergeCell ref="F20:G20"/>
    <mergeCell ref="H20:I20"/>
    <mergeCell ref="J20:K20"/>
    <mergeCell ref="L20:M20"/>
    <mergeCell ref="P20:Q20"/>
    <mergeCell ref="R20:S20"/>
    <mergeCell ref="T20:U20"/>
    <mergeCell ref="N20:O20"/>
    <mergeCell ref="B19:C19"/>
    <mergeCell ref="D19:E19"/>
    <mergeCell ref="F19:G19"/>
    <mergeCell ref="H19:I19"/>
    <mergeCell ref="J19:K19"/>
    <mergeCell ref="L19:M19"/>
    <mergeCell ref="P19:Q19"/>
    <mergeCell ref="R19:S19"/>
    <mergeCell ref="T19:U19"/>
    <mergeCell ref="N19:O19"/>
    <mergeCell ref="T16:U18"/>
    <mergeCell ref="N16:O18"/>
    <mergeCell ref="B12:C12"/>
    <mergeCell ref="D12:E12"/>
    <mergeCell ref="F12:G12"/>
    <mergeCell ref="H12:I12"/>
    <mergeCell ref="J12:K12"/>
    <mergeCell ref="L12:M12"/>
    <mergeCell ref="N12:O12"/>
    <mergeCell ref="P12:Q12"/>
    <mergeCell ref="R12:S12"/>
    <mergeCell ref="B13:M13"/>
    <mergeCell ref="N13:O13"/>
    <mergeCell ref="P13:Q13"/>
    <mergeCell ref="R13:S13"/>
    <mergeCell ref="B16:C18"/>
    <mergeCell ref="D16:E18"/>
    <mergeCell ref="F16:G18"/>
    <mergeCell ref="H16:I18"/>
    <mergeCell ref="J16:K18"/>
    <mergeCell ref="L16:M18"/>
    <mergeCell ref="P16:Q18"/>
    <mergeCell ref="R16:S18"/>
    <mergeCell ref="B11:C11"/>
    <mergeCell ref="D11:E11"/>
    <mergeCell ref="F11:G11"/>
    <mergeCell ref="H11:I11"/>
    <mergeCell ref="J11:K11"/>
    <mergeCell ref="L11:M11"/>
    <mergeCell ref="N11:O11"/>
    <mergeCell ref="P11:Q11"/>
    <mergeCell ref="R11:S11"/>
    <mergeCell ref="B10:C10"/>
    <mergeCell ref="D10:E10"/>
    <mergeCell ref="F10:G10"/>
    <mergeCell ref="H10:I10"/>
    <mergeCell ref="J10:K10"/>
    <mergeCell ref="L10:M10"/>
    <mergeCell ref="N10:O10"/>
    <mergeCell ref="P10:Q10"/>
    <mergeCell ref="R10:S10"/>
    <mergeCell ref="B9:C9"/>
    <mergeCell ref="D9:E9"/>
    <mergeCell ref="F9:G9"/>
    <mergeCell ref="H9:I9"/>
    <mergeCell ref="J9:K9"/>
    <mergeCell ref="L9:M9"/>
    <mergeCell ref="N9:O9"/>
    <mergeCell ref="P9:Q9"/>
    <mergeCell ref="R9:S9"/>
    <mergeCell ref="B8:C8"/>
    <mergeCell ref="D8:E8"/>
    <mergeCell ref="F8:G8"/>
    <mergeCell ref="H8:I8"/>
    <mergeCell ref="J8:K8"/>
    <mergeCell ref="L8:M8"/>
    <mergeCell ref="N8:O8"/>
    <mergeCell ref="P8:Q8"/>
    <mergeCell ref="R8:S8"/>
    <mergeCell ref="B2:AA2"/>
    <mergeCell ref="B5:C7"/>
    <mergeCell ref="H5:I7"/>
    <mergeCell ref="J5:K7"/>
    <mergeCell ref="L5:M7"/>
    <mergeCell ref="N5:O7"/>
    <mergeCell ref="P5:Q7"/>
    <mergeCell ref="R5:S7"/>
    <mergeCell ref="D7:E7"/>
    <mergeCell ref="F7:G7"/>
    <mergeCell ref="D5:G6"/>
  </mergeCells>
  <phoneticPr fontId="4"/>
  <conditionalFormatting sqref="W33:Y33">
    <cfRule type="expression" dxfId="6" priority="6" stopIfTrue="1">
      <formula>$W$33=0</formula>
    </cfRule>
  </conditionalFormatting>
  <conditionalFormatting sqref="W34:Y34">
    <cfRule type="expression" dxfId="5" priority="5" stopIfTrue="1">
      <formula>$W$34=0</formula>
    </cfRule>
  </conditionalFormatting>
  <conditionalFormatting sqref="W35:Y35">
    <cfRule type="expression" dxfId="4" priority="4" stopIfTrue="1">
      <formula>$W$35=0</formula>
    </cfRule>
  </conditionalFormatting>
  <conditionalFormatting sqref="P32:Q32">
    <cfRule type="expression" dxfId="3" priority="3" stopIfTrue="1">
      <formula>$P$32=0</formula>
    </cfRule>
  </conditionalFormatting>
  <conditionalFormatting sqref="T32:U32">
    <cfRule type="expression" dxfId="2" priority="2" stopIfTrue="1">
      <formula>$T$32=0</formula>
    </cfRule>
  </conditionalFormatting>
  <conditionalFormatting sqref="Y32:Z32">
    <cfRule type="expression" dxfId="1" priority="1" stopIfTrue="1">
      <formula>$Y$32=0</formula>
    </cfRule>
  </conditionalFormatting>
  <dataValidations disablePrompts="1" count="3">
    <dataValidation type="list" allowBlank="1" showInputMessage="1" showErrorMessage="1" sqref="L8:M12" xr:uid="{00000000-0002-0000-0A00-000000000000}">
      <formula1>"　,雨戸,ｼｬｯﾀｰ,障子"</formula1>
    </dataValidation>
    <dataValidation type="list" allowBlank="1" showInputMessage="1" showErrorMessage="1" sqref="D19:E26" xr:uid="{00000000-0002-0000-0A00-000001000000}">
      <formula1>"屋根,天井,外気床,その他床"</formula1>
    </dataValidation>
    <dataValidation type="list" allowBlank="1" showInputMessage="1" showErrorMessage="1" sqref="N19:O26" xr:uid="{E98BF794-FA61-44E8-AE4E-C49CB10F3C27}">
      <formula1>"　,1.0,0.7"</formula1>
    </dataValidation>
  </dataValidations>
  <pageMargins left="0.70866141732283472" right="0.70866141732283472" top="0.74803149606299213" bottom="0.74803149606299213" header="0.31496062992125984" footer="0.31496062992125984"/>
  <pageSetup paperSize="9" scale="89" orientation="portrait" r:id="rId1"/>
  <headerFooter>
    <oddHeader>&amp;Rver. 2.3[H28]</oddHeader>
    <oddFooter>&amp;Cⓒ　2022 hyoukakyoukai.All right reserved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F0F2-AA51-4AF1-9F6E-6068987E8889}">
  <sheetPr codeName="Sheet12">
    <tabColor rgb="FFFF99FF"/>
  </sheetPr>
  <dimension ref="B1:BD159"/>
  <sheetViews>
    <sheetView showGridLines="0" view="pageBreakPreview" zoomScale="70" zoomScaleNormal="80" zoomScaleSheetLayoutView="70" workbookViewId="0">
      <selection activeCell="B7" sqref="B7:C7"/>
    </sheetView>
  </sheetViews>
  <sheetFormatPr defaultRowHeight="13.5"/>
  <cols>
    <col min="1" max="1" width="0.75" customWidth="1"/>
    <col min="2" max="3" width="4.125" customWidth="1"/>
    <col min="4" max="29" width="3.625" customWidth="1"/>
    <col min="30" max="30" width="3.75" customWidth="1"/>
    <col min="31" max="42" width="8.375" style="38" hidden="1" customWidth="1"/>
    <col min="43" max="54" width="3.625" style="38" customWidth="1"/>
    <col min="55" max="56" width="9" style="38"/>
  </cols>
  <sheetData>
    <row r="1" spans="2:56" ht="3.75" customHeight="1"/>
    <row r="2" spans="2:56" ht="30" customHeight="1">
      <c r="B2" s="379" t="s">
        <v>164</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G2" s="90" t="s">
        <v>255</v>
      </c>
    </row>
    <row r="3" spans="2:56" s="3" customFormat="1" ht="27" customHeight="1">
      <c r="B3" s="98" t="s">
        <v>256</v>
      </c>
      <c r="J3" s="99"/>
      <c r="K3" s="489" t="s">
        <v>257</v>
      </c>
      <c r="L3" s="490"/>
      <c r="M3" s="490"/>
      <c r="N3" s="491"/>
      <c r="O3" s="100"/>
      <c r="P3" s="489" t="s">
        <v>258</v>
      </c>
      <c r="Q3" s="490"/>
      <c r="R3" s="490"/>
      <c r="S3" s="491"/>
      <c r="AE3" s="91"/>
      <c r="AF3" s="91"/>
      <c r="AG3" s="101">
        <v>1</v>
      </c>
      <c r="AH3" s="91"/>
      <c r="AI3" s="91"/>
      <c r="AJ3" s="91"/>
      <c r="AK3" s="91"/>
      <c r="AL3" s="91"/>
      <c r="AM3" s="91"/>
      <c r="AN3" s="91"/>
      <c r="AO3" s="91"/>
      <c r="AP3" s="91"/>
      <c r="AQ3" s="91"/>
      <c r="AR3" s="91"/>
      <c r="AS3" s="91"/>
      <c r="AT3" s="91"/>
      <c r="AU3" s="91"/>
      <c r="AV3" s="91"/>
      <c r="AW3" s="91"/>
      <c r="AX3" s="91"/>
      <c r="AY3" s="91"/>
      <c r="AZ3" s="91"/>
      <c r="BA3" s="91"/>
      <c r="BB3" s="91"/>
      <c r="BC3" s="91"/>
      <c r="BD3" s="91"/>
    </row>
    <row r="4" spans="2:56" s="3" customFormat="1" ht="20.100000000000001" customHeight="1" thickBot="1">
      <c r="B4" s="4" t="s">
        <v>283</v>
      </c>
      <c r="C4" s="2"/>
      <c r="D4" s="2"/>
      <c r="E4" s="2"/>
      <c r="F4" s="2"/>
      <c r="G4" s="2"/>
      <c r="H4" s="2"/>
      <c r="I4" s="2"/>
      <c r="J4" s="102"/>
      <c r="K4" s="102"/>
      <c r="L4" s="102"/>
      <c r="M4" s="102"/>
      <c r="N4" s="102"/>
      <c r="O4" s="102"/>
      <c r="P4" s="102"/>
      <c r="Q4" s="102"/>
      <c r="R4" s="102"/>
      <c r="S4" s="102"/>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row>
    <row r="5" spans="2:56" s="3" customFormat="1" ht="20.100000000000001" customHeight="1">
      <c r="B5" s="427" t="s">
        <v>34</v>
      </c>
      <c r="C5" s="428"/>
      <c r="D5" s="285" t="s">
        <v>35</v>
      </c>
      <c r="E5" s="285"/>
      <c r="F5" s="285"/>
      <c r="G5" s="185"/>
      <c r="H5" s="493" t="s">
        <v>121</v>
      </c>
      <c r="I5" s="494"/>
      <c r="J5" s="102"/>
      <c r="K5" s="102"/>
      <c r="L5" s="102"/>
      <c r="M5" s="102"/>
      <c r="N5" s="102"/>
      <c r="O5" s="102"/>
      <c r="P5" s="102"/>
      <c r="Q5" s="102"/>
      <c r="R5" s="102"/>
      <c r="S5" s="102"/>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row>
    <row r="6" spans="2:56" s="3" customFormat="1" ht="20.100000000000001" customHeight="1" thickBot="1">
      <c r="B6" s="431"/>
      <c r="C6" s="432"/>
      <c r="D6" s="287"/>
      <c r="E6" s="287"/>
      <c r="F6" s="287"/>
      <c r="G6" s="492"/>
      <c r="H6" s="495"/>
      <c r="I6" s="496"/>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row>
    <row r="7" spans="2:56" s="3" customFormat="1" ht="20.100000000000001" customHeight="1">
      <c r="B7" s="480"/>
      <c r="C7" s="481"/>
      <c r="D7" s="482"/>
      <c r="E7" s="482"/>
      <c r="F7" s="482"/>
      <c r="G7" s="482"/>
      <c r="H7" s="482"/>
      <c r="I7" s="483"/>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row>
    <row r="8" spans="2:56" s="3" customFormat="1" ht="20.100000000000001" customHeight="1">
      <c r="B8" s="484"/>
      <c r="C8" s="485"/>
      <c r="D8" s="486"/>
      <c r="E8" s="486"/>
      <c r="F8" s="486"/>
      <c r="G8" s="486"/>
      <c r="H8" s="487"/>
      <c r="I8" s="488"/>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row>
    <row r="9" spans="2:56" s="3" customFormat="1" ht="20.100000000000001" customHeight="1">
      <c r="B9" s="484"/>
      <c r="C9" s="485"/>
      <c r="D9" s="486"/>
      <c r="E9" s="486"/>
      <c r="F9" s="486"/>
      <c r="G9" s="486"/>
      <c r="H9" s="487"/>
      <c r="I9" s="488"/>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row>
    <row r="10" spans="2:56" s="3" customFormat="1" ht="20.100000000000001" customHeight="1">
      <c r="B10" s="484"/>
      <c r="C10" s="485"/>
      <c r="D10" s="486"/>
      <c r="E10" s="486"/>
      <c r="F10" s="486"/>
      <c r="G10" s="486"/>
      <c r="H10" s="487"/>
      <c r="I10" s="488"/>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row>
    <row r="11" spans="2:56" s="3" customFormat="1" ht="20.100000000000001" customHeight="1">
      <c r="B11" s="497"/>
      <c r="C11" s="498"/>
      <c r="D11" s="499"/>
      <c r="E11" s="499"/>
      <c r="F11" s="499"/>
      <c r="G11" s="499"/>
      <c r="H11" s="499"/>
      <c r="I11" s="500"/>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row>
    <row r="12" spans="2:56" s="3" customFormat="1" ht="20.100000000000001" customHeight="1">
      <c r="B12" s="484"/>
      <c r="C12" s="485"/>
      <c r="D12" s="487"/>
      <c r="E12" s="487"/>
      <c r="F12" s="487"/>
      <c r="G12" s="487"/>
      <c r="H12" s="487"/>
      <c r="I12" s="488"/>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row>
    <row r="13" spans="2:56" s="3" customFormat="1" ht="20.100000000000001" customHeight="1">
      <c r="B13" s="484"/>
      <c r="C13" s="485"/>
      <c r="D13" s="487"/>
      <c r="E13" s="487"/>
      <c r="F13" s="487"/>
      <c r="G13" s="487"/>
      <c r="H13" s="487"/>
      <c r="I13" s="488"/>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row>
    <row r="14" spans="2:56" s="3" customFormat="1" ht="20.100000000000001" customHeight="1" thickBot="1">
      <c r="B14" s="505"/>
      <c r="C14" s="506"/>
      <c r="D14" s="507"/>
      <c r="E14" s="507"/>
      <c r="F14" s="507"/>
      <c r="G14" s="507"/>
      <c r="H14" s="507"/>
      <c r="I14" s="508"/>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row>
    <row r="15" spans="2:56" s="3" customFormat="1" ht="20.100000000000001" customHeight="1" thickBot="1">
      <c r="B15" s="501" t="s">
        <v>42</v>
      </c>
      <c r="C15" s="502"/>
      <c r="D15" s="502"/>
      <c r="E15" s="502"/>
      <c r="F15" s="502"/>
      <c r="G15" s="502"/>
      <c r="H15" s="220">
        <f>SUM(H7:I14)</f>
        <v>0</v>
      </c>
      <c r="I15" s="22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row>
    <row r="16" spans="2:56" s="3" customFormat="1" ht="20.100000000000001" customHeight="1">
      <c r="B16" s="2" t="s">
        <v>259</v>
      </c>
      <c r="C16" s="103"/>
      <c r="D16" s="103"/>
      <c r="E16" s="103"/>
      <c r="F16" s="103"/>
      <c r="G16" s="103"/>
      <c r="H16" s="104"/>
      <c r="I16" s="104"/>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row>
    <row r="17" spans="2:56" s="3" customFormat="1" ht="20.100000000000001" customHeight="1">
      <c r="B17" s="2"/>
      <c r="C17" s="103"/>
      <c r="D17" s="103"/>
      <c r="E17" s="103"/>
      <c r="F17" s="103"/>
      <c r="G17" s="103"/>
      <c r="H17" s="104"/>
      <c r="I17" s="104"/>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row>
    <row r="18" spans="2:56" s="3" customFormat="1" ht="20.100000000000001" customHeight="1">
      <c r="B18" s="4"/>
      <c r="C18" s="103"/>
      <c r="D18" s="103"/>
      <c r="E18" s="103"/>
      <c r="F18" s="103"/>
      <c r="G18" s="103"/>
      <c r="H18" s="104"/>
      <c r="I18" s="104"/>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row>
    <row r="19" spans="2:56" s="2" customFormat="1" ht="20.100000000000001" customHeight="1" thickBot="1">
      <c r="B19" s="4" t="s">
        <v>282</v>
      </c>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row>
    <row r="20" spans="2:56" s="2" customFormat="1" ht="20.100000000000001" customHeight="1">
      <c r="B20" s="385" t="s">
        <v>34</v>
      </c>
      <c r="C20" s="285"/>
      <c r="D20" s="285" t="s">
        <v>35</v>
      </c>
      <c r="E20" s="285"/>
      <c r="F20" s="285"/>
      <c r="G20" s="285"/>
      <c r="H20" s="272" t="s">
        <v>165</v>
      </c>
      <c r="I20" s="503"/>
      <c r="J20" s="273"/>
      <c r="K20" s="272" t="s">
        <v>124</v>
      </c>
      <c r="L20" s="503"/>
      <c r="M20" s="273"/>
      <c r="N20" s="272" t="s">
        <v>136</v>
      </c>
      <c r="O20" s="503"/>
      <c r="P20" s="273"/>
      <c r="Q20" s="272" t="s">
        <v>123</v>
      </c>
      <c r="R20" s="183"/>
      <c r="S20" s="184"/>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row>
    <row r="21" spans="2:56" s="2" customFormat="1" ht="20.100000000000001" customHeight="1" thickBot="1">
      <c r="B21" s="387"/>
      <c r="C21" s="287"/>
      <c r="D21" s="287"/>
      <c r="E21" s="287"/>
      <c r="F21" s="287"/>
      <c r="G21" s="287"/>
      <c r="H21" s="276"/>
      <c r="I21" s="504"/>
      <c r="J21" s="277"/>
      <c r="K21" s="276"/>
      <c r="L21" s="504"/>
      <c r="M21" s="277"/>
      <c r="N21" s="276"/>
      <c r="O21" s="504"/>
      <c r="P21" s="277"/>
      <c r="Q21" s="320"/>
      <c r="R21" s="317"/>
      <c r="S21" s="32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row>
    <row r="22" spans="2:56" s="2" customFormat="1" ht="20.100000000000001" customHeight="1">
      <c r="B22" s="519" t="str">
        <f>IF(B7="","",B7)</f>
        <v/>
      </c>
      <c r="C22" s="520"/>
      <c r="D22" s="521" t="str">
        <f>IF(D7="","",D7)</f>
        <v/>
      </c>
      <c r="E22" s="522"/>
      <c r="F22" s="522"/>
      <c r="G22" s="520"/>
      <c r="H22" s="259"/>
      <c r="I22" s="523"/>
      <c r="J22" s="260"/>
      <c r="K22" s="259"/>
      <c r="L22" s="523"/>
      <c r="M22" s="260"/>
      <c r="N22" s="524"/>
      <c r="O22" s="525"/>
      <c r="P22" s="526"/>
      <c r="Q22" s="440" t="str">
        <f>IF(H22="","",K22*H22*AH22)</f>
        <v/>
      </c>
      <c r="R22" s="527"/>
      <c r="S22" s="528"/>
      <c r="AE22" s="91"/>
      <c r="AF22" s="91"/>
      <c r="AG22" s="58" t="b">
        <v>0</v>
      </c>
      <c r="AH22" s="58">
        <f t="shared" ref="AH22:AH29" si="0">IF(AG22=TRUE,0.7,1)</f>
        <v>1</v>
      </c>
      <c r="AI22" s="91"/>
      <c r="AJ22" s="91"/>
      <c r="AK22" s="91"/>
      <c r="AL22" s="91"/>
      <c r="AM22" s="91"/>
      <c r="AN22" s="91"/>
      <c r="AO22" s="91"/>
      <c r="AP22" s="91"/>
      <c r="AQ22" s="91"/>
      <c r="AR22" s="91"/>
      <c r="AS22" s="91"/>
      <c r="AT22" s="91"/>
      <c r="AU22" s="91"/>
      <c r="AV22" s="91"/>
      <c r="AW22" s="91"/>
      <c r="AX22" s="91"/>
      <c r="AY22" s="91"/>
      <c r="AZ22" s="91"/>
      <c r="BA22" s="91"/>
      <c r="BB22" s="91"/>
      <c r="BC22" s="91"/>
      <c r="BD22" s="91"/>
    </row>
    <row r="23" spans="2:56" s="2" customFormat="1" ht="20.100000000000001" customHeight="1">
      <c r="B23" s="509" t="str">
        <f>IF(B8="","",B8)</f>
        <v/>
      </c>
      <c r="C23" s="510"/>
      <c r="D23" s="511" t="str">
        <f>IF(D8="","",D8)</f>
        <v/>
      </c>
      <c r="E23" s="512"/>
      <c r="F23" s="512"/>
      <c r="G23" s="513"/>
      <c r="H23" s="250"/>
      <c r="I23" s="514"/>
      <c r="J23" s="251"/>
      <c r="K23" s="250"/>
      <c r="L23" s="514"/>
      <c r="M23" s="251"/>
      <c r="N23" s="515"/>
      <c r="O23" s="516"/>
      <c r="P23" s="517"/>
      <c r="Q23" s="233" t="str">
        <f>IF(H23="","",K23*H23*AH23)</f>
        <v/>
      </c>
      <c r="R23" s="518"/>
      <c r="S23" s="256"/>
      <c r="AE23" s="91"/>
      <c r="AF23" s="91"/>
      <c r="AG23" s="58" t="b">
        <v>0</v>
      </c>
      <c r="AH23" s="58">
        <f t="shared" si="0"/>
        <v>1</v>
      </c>
      <c r="AI23" s="91"/>
      <c r="AJ23" s="91"/>
      <c r="AK23" s="91"/>
      <c r="AL23" s="91"/>
      <c r="AM23" s="91"/>
      <c r="AN23" s="91"/>
      <c r="AO23" s="91"/>
      <c r="AP23" s="91"/>
      <c r="AQ23" s="91"/>
      <c r="AR23" s="91"/>
      <c r="AS23" s="91"/>
      <c r="AT23" s="91"/>
      <c r="AU23" s="91"/>
      <c r="AV23" s="91"/>
      <c r="AW23" s="91"/>
      <c r="AX23" s="91"/>
      <c r="AY23" s="91"/>
      <c r="AZ23" s="91"/>
      <c r="BA23" s="91"/>
      <c r="BB23" s="91"/>
      <c r="BC23" s="91"/>
      <c r="BD23" s="91"/>
    </row>
    <row r="24" spans="2:56" s="2" customFormat="1" ht="20.100000000000001" customHeight="1">
      <c r="B24" s="529" t="str">
        <f>IF(B9="","",B9)</f>
        <v/>
      </c>
      <c r="C24" s="513"/>
      <c r="D24" s="511" t="str">
        <f>IF(D9="","",D9)</f>
        <v/>
      </c>
      <c r="E24" s="512"/>
      <c r="F24" s="512"/>
      <c r="G24" s="513"/>
      <c r="H24" s="250"/>
      <c r="I24" s="514"/>
      <c r="J24" s="251"/>
      <c r="K24" s="250"/>
      <c r="L24" s="514"/>
      <c r="M24" s="251"/>
      <c r="N24" s="515"/>
      <c r="O24" s="516"/>
      <c r="P24" s="517"/>
      <c r="Q24" s="233" t="str">
        <f>IF(H24="","",K24*H24*AH24)</f>
        <v/>
      </c>
      <c r="R24" s="518"/>
      <c r="S24" s="256"/>
      <c r="AE24" s="91"/>
      <c r="AF24" s="91"/>
      <c r="AG24" s="58" t="b">
        <v>0</v>
      </c>
      <c r="AH24" s="58">
        <f t="shared" si="0"/>
        <v>1</v>
      </c>
      <c r="AI24" s="91"/>
      <c r="AJ24" s="91"/>
      <c r="AK24" s="91"/>
      <c r="AL24" s="91"/>
      <c r="AM24" s="91"/>
      <c r="AN24" s="91"/>
      <c r="AO24" s="91"/>
      <c r="AP24" s="91"/>
      <c r="AQ24" s="91"/>
      <c r="AR24" s="91"/>
      <c r="AS24" s="91"/>
      <c r="AT24" s="91"/>
      <c r="AU24" s="91"/>
      <c r="AV24" s="91"/>
      <c r="AW24" s="91"/>
      <c r="AX24" s="91"/>
      <c r="AY24" s="91"/>
      <c r="AZ24" s="91"/>
      <c r="BA24" s="91"/>
      <c r="BB24" s="91"/>
      <c r="BC24" s="91"/>
      <c r="BD24" s="91"/>
    </row>
    <row r="25" spans="2:56" s="2" customFormat="1" ht="20.100000000000001" customHeight="1">
      <c r="B25" s="529" t="str">
        <f>IF(B10="","",B10)</f>
        <v/>
      </c>
      <c r="C25" s="513"/>
      <c r="D25" s="511" t="str">
        <f>IF(D10="","",D10)</f>
        <v/>
      </c>
      <c r="E25" s="512"/>
      <c r="F25" s="512"/>
      <c r="G25" s="513"/>
      <c r="H25" s="250"/>
      <c r="I25" s="514"/>
      <c r="J25" s="251"/>
      <c r="K25" s="250"/>
      <c r="L25" s="514"/>
      <c r="M25" s="251"/>
      <c r="N25" s="515"/>
      <c r="O25" s="516"/>
      <c r="P25" s="517"/>
      <c r="Q25" s="233" t="str">
        <f>IF(H25="","",K25*H25*AH25)</f>
        <v/>
      </c>
      <c r="R25" s="518"/>
      <c r="S25" s="256"/>
      <c r="AE25" s="91"/>
      <c r="AF25" s="91"/>
      <c r="AG25" s="58" t="b">
        <v>0</v>
      </c>
      <c r="AH25" s="58">
        <f t="shared" si="0"/>
        <v>1</v>
      </c>
      <c r="AI25" s="91"/>
      <c r="AJ25" s="91"/>
      <c r="AK25" s="91"/>
      <c r="AL25" s="91"/>
      <c r="AM25" s="91"/>
      <c r="AN25" s="91"/>
      <c r="AO25" s="91"/>
      <c r="AP25" s="91"/>
      <c r="AQ25" s="91"/>
      <c r="AR25" s="91"/>
      <c r="AS25" s="91"/>
      <c r="AT25" s="91"/>
      <c r="AU25" s="91"/>
      <c r="AV25" s="91"/>
      <c r="AW25" s="91"/>
      <c r="AX25" s="91"/>
      <c r="AY25" s="91"/>
      <c r="AZ25" s="91"/>
      <c r="BA25" s="91"/>
      <c r="BB25" s="91"/>
      <c r="BC25" s="91"/>
      <c r="BD25" s="91"/>
    </row>
    <row r="26" spans="2:56" s="2" customFormat="1" ht="20.100000000000001" customHeight="1">
      <c r="B26" s="530" t="str">
        <f>IF(B11="","",B11)</f>
        <v/>
      </c>
      <c r="C26" s="531"/>
      <c r="D26" s="531" t="str">
        <f>IF(D11="","",D11)</f>
        <v/>
      </c>
      <c r="E26" s="531"/>
      <c r="F26" s="531"/>
      <c r="G26" s="531"/>
      <c r="H26" s="254"/>
      <c r="I26" s="254"/>
      <c r="J26" s="254"/>
      <c r="K26" s="254"/>
      <c r="L26" s="254"/>
      <c r="M26" s="254"/>
      <c r="N26" s="532"/>
      <c r="O26" s="532"/>
      <c r="P26" s="532"/>
      <c r="Q26" s="235" t="str">
        <f>IF(H26="","",K26*H26*AH26)</f>
        <v/>
      </c>
      <c r="R26" s="235"/>
      <c r="S26" s="236"/>
      <c r="AE26" s="91"/>
      <c r="AF26" s="91"/>
      <c r="AG26" s="58" t="b">
        <v>0</v>
      </c>
      <c r="AH26" s="58">
        <f t="shared" si="0"/>
        <v>1</v>
      </c>
      <c r="AI26" s="91"/>
      <c r="AJ26" s="91"/>
      <c r="AK26" s="91"/>
      <c r="AL26" s="91"/>
      <c r="AM26" s="91"/>
      <c r="AN26" s="91"/>
      <c r="AO26" s="91"/>
      <c r="AP26" s="91"/>
      <c r="AQ26" s="91"/>
      <c r="AR26" s="91"/>
      <c r="AS26" s="91"/>
      <c r="AT26" s="91"/>
      <c r="AU26" s="91"/>
      <c r="AV26" s="91"/>
      <c r="AW26" s="91"/>
      <c r="AX26" s="91"/>
      <c r="AY26" s="91"/>
      <c r="AZ26" s="91"/>
      <c r="BA26" s="91"/>
      <c r="BB26" s="91"/>
      <c r="BC26" s="91"/>
      <c r="BD26" s="91"/>
    </row>
    <row r="27" spans="2:56" s="2" customFormat="1" ht="20.100000000000001" customHeight="1">
      <c r="B27" s="530" t="str">
        <f t="shared" ref="B27:B29" si="1">IF(B12="","",B12)</f>
        <v/>
      </c>
      <c r="C27" s="531"/>
      <c r="D27" s="531" t="str">
        <f t="shared" ref="D27:D29" si="2">IF(D12="","",D12)</f>
        <v/>
      </c>
      <c r="E27" s="531"/>
      <c r="F27" s="531"/>
      <c r="G27" s="531"/>
      <c r="H27" s="254"/>
      <c r="I27" s="254"/>
      <c r="J27" s="254"/>
      <c r="K27" s="254"/>
      <c r="L27" s="254"/>
      <c r="M27" s="254"/>
      <c r="N27" s="532"/>
      <c r="O27" s="532"/>
      <c r="P27" s="532"/>
      <c r="Q27" s="235" t="str">
        <f t="shared" ref="Q27:Q29" si="3">IF(H27="","",K27*H27*AH27)</f>
        <v/>
      </c>
      <c r="R27" s="235"/>
      <c r="S27" s="236"/>
      <c r="T27" s="105"/>
      <c r="U27" s="105"/>
      <c r="AE27" s="91"/>
      <c r="AF27" s="91"/>
      <c r="AG27" s="58" t="b">
        <v>0</v>
      </c>
      <c r="AH27" s="58">
        <f t="shared" si="0"/>
        <v>1</v>
      </c>
      <c r="AI27" s="91"/>
      <c r="AJ27" s="91"/>
      <c r="AK27" s="91"/>
      <c r="AL27" s="91"/>
      <c r="AM27" s="91"/>
      <c r="AN27" s="91"/>
      <c r="AO27" s="91"/>
      <c r="AP27" s="91"/>
      <c r="AQ27" s="91"/>
      <c r="AR27" s="91"/>
      <c r="AS27" s="91"/>
      <c r="AT27" s="91"/>
      <c r="AU27" s="91"/>
      <c r="AV27" s="91"/>
      <c r="AW27" s="91"/>
      <c r="AX27" s="91"/>
      <c r="AY27" s="91"/>
      <c r="AZ27" s="91"/>
      <c r="BA27" s="91"/>
      <c r="BB27" s="91"/>
      <c r="BC27" s="91"/>
      <c r="BD27" s="91"/>
    </row>
    <row r="28" spans="2:56" s="2" customFormat="1" ht="20.100000000000001" customHeight="1">
      <c r="B28" s="530" t="str">
        <f t="shared" si="1"/>
        <v/>
      </c>
      <c r="C28" s="531"/>
      <c r="D28" s="531" t="str">
        <f t="shared" si="2"/>
        <v/>
      </c>
      <c r="E28" s="531"/>
      <c r="F28" s="531"/>
      <c r="G28" s="531"/>
      <c r="H28" s="254"/>
      <c r="I28" s="254"/>
      <c r="J28" s="254"/>
      <c r="K28" s="254"/>
      <c r="L28" s="254"/>
      <c r="M28" s="254"/>
      <c r="N28" s="532"/>
      <c r="O28" s="532"/>
      <c r="P28" s="532"/>
      <c r="Q28" s="235" t="str">
        <f t="shared" si="3"/>
        <v/>
      </c>
      <c r="R28" s="235"/>
      <c r="S28" s="236"/>
      <c r="T28" s="105"/>
      <c r="U28" s="105"/>
      <c r="AE28" s="91"/>
      <c r="AF28" s="91"/>
      <c r="AG28" s="58" t="b">
        <v>0</v>
      </c>
      <c r="AH28" s="58">
        <f t="shared" si="0"/>
        <v>1</v>
      </c>
      <c r="AI28" s="91"/>
      <c r="AJ28" s="91"/>
      <c r="AK28" s="91"/>
      <c r="AL28" s="91"/>
      <c r="AM28" s="91"/>
      <c r="AN28" s="91"/>
      <c r="AO28" s="91"/>
      <c r="AP28" s="91"/>
      <c r="AQ28" s="91"/>
      <c r="AR28" s="91"/>
      <c r="AS28" s="91"/>
      <c r="AT28" s="91"/>
      <c r="AU28" s="91"/>
      <c r="AV28" s="91"/>
      <c r="AW28" s="91"/>
      <c r="AX28" s="91"/>
      <c r="AY28" s="91"/>
      <c r="AZ28" s="91"/>
      <c r="BA28" s="91"/>
      <c r="BB28" s="91"/>
      <c r="BC28" s="91"/>
      <c r="BD28" s="91"/>
    </row>
    <row r="29" spans="2:56" s="2" customFormat="1" ht="20.100000000000001" customHeight="1" thickBot="1">
      <c r="B29" s="533" t="str">
        <f t="shared" si="1"/>
        <v/>
      </c>
      <c r="C29" s="534"/>
      <c r="D29" s="535" t="str">
        <f t="shared" si="2"/>
        <v/>
      </c>
      <c r="E29" s="536"/>
      <c r="F29" s="536"/>
      <c r="G29" s="534"/>
      <c r="H29" s="537"/>
      <c r="I29" s="538"/>
      <c r="J29" s="539"/>
      <c r="K29" s="537"/>
      <c r="L29" s="538"/>
      <c r="M29" s="539"/>
      <c r="N29" s="540"/>
      <c r="O29" s="541"/>
      <c r="P29" s="542"/>
      <c r="Q29" s="543" t="str">
        <f t="shared" si="3"/>
        <v/>
      </c>
      <c r="R29" s="544"/>
      <c r="S29" s="545"/>
      <c r="AE29" s="91"/>
      <c r="AF29" s="91"/>
      <c r="AG29" s="58" t="b">
        <v>0</v>
      </c>
      <c r="AH29" s="58">
        <f t="shared" si="0"/>
        <v>1</v>
      </c>
      <c r="AI29" s="91"/>
      <c r="AJ29" s="91"/>
      <c r="AK29" s="91"/>
      <c r="AL29" s="91"/>
      <c r="AM29" s="91"/>
      <c r="AN29" s="91"/>
      <c r="AO29" s="91"/>
      <c r="AP29" s="91"/>
      <c r="AQ29" s="91"/>
      <c r="AR29" s="91"/>
      <c r="AS29" s="91"/>
      <c r="AT29" s="91"/>
      <c r="AU29" s="91"/>
      <c r="AV29" s="91"/>
      <c r="AW29" s="91"/>
      <c r="AX29" s="91"/>
      <c r="AY29" s="91"/>
      <c r="AZ29" s="91"/>
      <c r="BA29" s="91"/>
      <c r="BB29" s="91"/>
      <c r="BC29" s="91"/>
      <c r="BD29" s="91"/>
    </row>
    <row r="30" spans="2:56" s="2" customFormat="1" ht="20.100000000000001" customHeight="1" thickBot="1">
      <c r="B30" s="218" t="s">
        <v>125</v>
      </c>
      <c r="C30" s="219"/>
      <c r="D30" s="219"/>
      <c r="E30" s="219"/>
      <c r="F30" s="219"/>
      <c r="G30" s="219"/>
      <c r="H30" s="220">
        <f>SUM(H22:J29)</f>
        <v>0</v>
      </c>
      <c r="I30" s="220"/>
      <c r="J30" s="220"/>
      <c r="K30" s="546" t="s">
        <v>79</v>
      </c>
      <c r="L30" s="547"/>
      <c r="M30" s="547"/>
      <c r="N30" s="502" t="s">
        <v>79</v>
      </c>
      <c r="O30" s="502"/>
      <c r="P30" s="502"/>
      <c r="Q30" s="455">
        <f>SUM(Q22:S29)</f>
        <v>0</v>
      </c>
      <c r="R30" s="548"/>
      <c r="S30" s="549"/>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row>
    <row r="31" spans="2:56" s="2" customFormat="1" ht="20.100000000000001" customHeight="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row>
    <row r="32" spans="2:56" s="3" customFormat="1" ht="20.100000000000001" customHeight="1" thickBot="1">
      <c r="B32" s="4" t="s">
        <v>287</v>
      </c>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row>
    <row r="33" spans="2:56" s="3" customFormat="1" ht="20.100000000000001" customHeight="1">
      <c r="B33" s="266" t="s">
        <v>0</v>
      </c>
      <c r="C33" s="183"/>
      <c r="D33" s="183"/>
      <c r="E33" s="322" t="s">
        <v>119</v>
      </c>
      <c r="F33" s="183"/>
      <c r="G33" s="267"/>
      <c r="H33" s="272" t="s">
        <v>121</v>
      </c>
      <c r="I33" s="183"/>
      <c r="J33" s="267"/>
      <c r="K33" s="272" t="s">
        <v>122</v>
      </c>
      <c r="L33" s="183"/>
      <c r="M33" s="267"/>
      <c r="N33" s="272" t="s">
        <v>136</v>
      </c>
      <c r="O33" s="503"/>
      <c r="P33" s="273"/>
      <c r="Q33" s="550" t="s">
        <v>166</v>
      </c>
      <c r="R33" s="550"/>
      <c r="S33" s="550"/>
      <c r="T33" s="550" t="s">
        <v>167</v>
      </c>
      <c r="U33" s="550"/>
      <c r="V33" s="550"/>
      <c r="W33" s="272" t="s">
        <v>123</v>
      </c>
      <c r="X33" s="183"/>
      <c r="Y33" s="184"/>
      <c r="Z33" s="2"/>
      <c r="AE33" s="91" t="s">
        <v>127</v>
      </c>
      <c r="AF33" s="91"/>
      <c r="AG33" s="91"/>
      <c r="AH33" s="91"/>
      <c r="AI33" s="91"/>
      <c r="AJ33" s="552" t="s">
        <v>137</v>
      </c>
      <c r="AK33" s="552"/>
      <c r="AL33" s="91"/>
      <c r="AM33" s="106"/>
      <c r="AN33" s="91"/>
      <c r="AO33" s="91"/>
      <c r="AP33" s="91"/>
      <c r="AQ33" s="91"/>
      <c r="AR33" s="91"/>
      <c r="AS33" s="91"/>
      <c r="AT33" s="91"/>
      <c r="AU33" s="91"/>
      <c r="AV33" s="91"/>
      <c r="AW33" s="91"/>
      <c r="AX33" s="91"/>
      <c r="AY33" s="91"/>
      <c r="AZ33" s="91"/>
      <c r="BA33" s="91"/>
      <c r="BB33" s="91"/>
      <c r="BC33" s="91"/>
      <c r="BD33" s="91"/>
    </row>
    <row r="34" spans="2:56" s="3" customFormat="1" ht="20.100000000000001" customHeight="1" thickBot="1">
      <c r="B34" s="270"/>
      <c r="C34" s="317"/>
      <c r="D34" s="317"/>
      <c r="E34" s="320"/>
      <c r="F34" s="317"/>
      <c r="G34" s="271"/>
      <c r="H34" s="320"/>
      <c r="I34" s="317"/>
      <c r="J34" s="271"/>
      <c r="K34" s="320"/>
      <c r="L34" s="317"/>
      <c r="M34" s="271"/>
      <c r="N34" s="276"/>
      <c r="O34" s="504"/>
      <c r="P34" s="277"/>
      <c r="Q34" s="551"/>
      <c r="R34" s="551"/>
      <c r="S34" s="551"/>
      <c r="T34" s="551"/>
      <c r="U34" s="551"/>
      <c r="V34" s="551"/>
      <c r="W34" s="320"/>
      <c r="X34" s="317"/>
      <c r="Y34" s="321"/>
      <c r="Z34" s="2"/>
      <c r="AE34" s="91"/>
      <c r="AF34" s="91"/>
      <c r="AG34" s="107"/>
      <c r="AH34" s="108"/>
      <c r="AI34" s="107"/>
      <c r="AJ34" s="109" t="s">
        <v>138</v>
      </c>
      <c r="AK34" s="109" t="s">
        <v>139</v>
      </c>
      <c r="AL34" s="91"/>
      <c r="AM34" s="91"/>
      <c r="AN34" s="106" t="s">
        <v>140</v>
      </c>
      <c r="AO34" s="106"/>
      <c r="AP34" s="106" t="s">
        <v>141</v>
      </c>
      <c r="AQ34" s="91"/>
      <c r="AR34" s="91"/>
      <c r="AS34" s="91"/>
      <c r="AT34" s="91"/>
      <c r="AU34" s="91"/>
      <c r="AV34" s="91"/>
      <c r="AW34" s="91"/>
      <c r="AX34" s="91"/>
      <c r="AY34" s="91"/>
      <c r="AZ34" s="91"/>
      <c r="BA34" s="91"/>
      <c r="BB34" s="91"/>
      <c r="BC34" s="91"/>
      <c r="BD34" s="91"/>
    </row>
    <row r="35" spans="2:56" s="2" customFormat="1" ht="20.100000000000001" customHeight="1">
      <c r="B35" s="413"/>
      <c r="C35" s="553"/>
      <c r="D35" s="553"/>
      <c r="E35" s="259"/>
      <c r="F35" s="523"/>
      <c r="G35" s="260"/>
      <c r="H35" s="259"/>
      <c r="I35" s="523"/>
      <c r="J35" s="260"/>
      <c r="K35" s="259"/>
      <c r="L35" s="523"/>
      <c r="M35" s="260"/>
      <c r="N35" s="524" t="s">
        <v>44</v>
      </c>
      <c r="O35" s="525"/>
      <c r="P35" s="526"/>
      <c r="Q35" s="440" t="str">
        <f>IF(H35="","",IF(AG35=TRUE,0,H35*K35*0.034*AJ35))</f>
        <v/>
      </c>
      <c r="R35" s="527"/>
      <c r="S35" s="441"/>
      <c r="T35" s="235" t="str">
        <f>IF(H35="","",IF(AG35=TRUE,0,H35*K35*0.034*AK35))</f>
        <v/>
      </c>
      <c r="U35" s="235"/>
      <c r="V35" s="235"/>
      <c r="W35" s="264" t="str">
        <f>IF(H35="","",K35*H35*AH35)</f>
        <v/>
      </c>
      <c r="X35" s="264"/>
      <c r="Y35" s="265"/>
      <c r="AE35" s="91" t="s">
        <v>128</v>
      </c>
      <c r="AF35" s="91"/>
      <c r="AG35" s="58" t="b">
        <v>0</v>
      </c>
      <c r="AH35" s="58">
        <f>IF(AG35=TRUE,0.7,1)</f>
        <v>1</v>
      </c>
      <c r="AI35" s="91"/>
      <c r="AJ35" s="58" t="e">
        <f>VLOOKUP(E35,夏方位係数,2,FALSE)</f>
        <v>#N/A</v>
      </c>
      <c r="AK35" s="58" t="e">
        <f t="shared" ref="AK35:AK44" si="4">VLOOKUP(E35,冬方位係数,2,FALSE)</f>
        <v>#N/A</v>
      </c>
      <c r="AL35" s="91"/>
      <c r="AM35" s="110" t="s">
        <v>142</v>
      </c>
      <c r="AN35" s="110" t="b">
        <f>'Ａ（南）'!$V$4</f>
        <v>0</v>
      </c>
      <c r="AO35" s="110" t="s">
        <v>142</v>
      </c>
      <c r="AP35" s="110" t="b">
        <f>'Ａ（南）'!$X$4</f>
        <v>0</v>
      </c>
      <c r="AQ35" s="91"/>
      <c r="AR35" s="91"/>
      <c r="AS35" s="91"/>
      <c r="AT35" s="91"/>
      <c r="AU35" s="91"/>
      <c r="AV35" s="91"/>
      <c r="AW35" s="91"/>
      <c r="AX35" s="91"/>
      <c r="AY35" s="91"/>
      <c r="AZ35" s="91"/>
      <c r="BA35" s="91"/>
      <c r="BB35" s="91"/>
      <c r="BC35" s="91"/>
      <c r="BD35" s="91"/>
    </row>
    <row r="36" spans="2:56" s="2" customFormat="1" ht="20.100000000000001" customHeight="1">
      <c r="B36" s="415"/>
      <c r="C36" s="554"/>
      <c r="D36" s="554"/>
      <c r="E36" s="250"/>
      <c r="F36" s="514"/>
      <c r="G36" s="251"/>
      <c r="H36" s="250"/>
      <c r="I36" s="514"/>
      <c r="J36" s="251"/>
      <c r="K36" s="250"/>
      <c r="L36" s="514"/>
      <c r="M36" s="251"/>
      <c r="N36" s="515"/>
      <c r="O36" s="516"/>
      <c r="P36" s="517"/>
      <c r="Q36" s="235" t="str">
        <f>IF(H36="","",IF(AG36=TRUE,0,H36*K36*0.034*AJ36))</f>
        <v/>
      </c>
      <c r="R36" s="235"/>
      <c r="S36" s="235"/>
      <c r="T36" s="235" t="str">
        <f>IF(H36="","",IF(AG36=TRUE,0,H36*K36*0.034*AK36))</f>
        <v/>
      </c>
      <c r="U36" s="235"/>
      <c r="V36" s="235"/>
      <c r="W36" s="235" t="str">
        <f>IF(H36="","",K36*H36*AH36)</f>
        <v/>
      </c>
      <c r="X36" s="235"/>
      <c r="Y36" s="236"/>
      <c r="AE36" s="91" t="s">
        <v>129</v>
      </c>
      <c r="AF36" s="91"/>
      <c r="AG36" s="58" t="b">
        <v>0</v>
      </c>
      <c r="AH36" s="58">
        <f t="shared" ref="AH36:AH44" si="5">IF(AG36=TRUE,0.7,1)</f>
        <v>1</v>
      </c>
      <c r="AI36" s="91"/>
      <c r="AJ36" s="58" t="e">
        <f t="shared" ref="AJ36:AJ44" si="6">VLOOKUP(E36,夏方位係数,2,FALSE)</f>
        <v>#N/A</v>
      </c>
      <c r="AK36" s="58" t="e">
        <f t="shared" si="4"/>
        <v>#N/A</v>
      </c>
      <c r="AL36" s="91"/>
      <c r="AM36" s="110" t="s">
        <v>143</v>
      </c>
      <c r="AN36" s="110" t="b">
        <f>'Ａ（東）'!$V$4</f>
        <v>0</v>
      </c>
      <c r="AO36" s="110" t="s">
        <v>143</v>
      </c>
      <c r="AP36" s="110" t="b">
        <f>'Ａ（東）'!$X$4</f>
        <v>0</v>
      </c>
      <c r="AQ36" s="91"/>
      <c r="AR36" s="91"/>
      <c r="AS36" s="91"/>
      <c r="AT36" s="91"/>
      <c r="AU36" s="91"/>
      <c r="AV36" s="91"/>
      <c r="AW36" s="91"/>
      <c r="AX36" s="91"/>
      <c r="AY36" s="91"/>
      <c r="AZ36" s="91"/>
      <c r="BA36" s="91"/>
      <c r="BB36" s="91"/>
      <c r="BC36" s="91"/>
      <c r="BD36" s="91"/>
    </row>
    <row r="37" spans="2:56" s="2" customFormat="1" ht="20.100000000000001" customHeight="1">
      <c r="B37" s="415"/>
      <c r="C37" s="554"/>
      <c r="D37" s="554"/>
      <c r="E37" s="250"/>
      <c r="F37" s="514"/>
      <c r="G37" s="251"/>
      <c r="H37" s="250"/>
      <c r="I37" s="514"/>
      <c r="J37" s="251"/>
      <c r="K37" s="250"/>
      <c r="L37" s="514"/>
      <c r="M37" s="251"/>
      <c r="N37" s="515"/>
      <c r="O37" s="516"/>
      <c r="P37" s="517"/>
      <c r="Q37" s="235" t="str">
        <f>IF(H37="","",IF(AG37=TRUE,0,H37*K37*0.034*AJ37))</f>
        <v/>
      </c>
      <c r="R37" s="235"/>
      <c r="S37" s="235"/>
      <c r="T37" s="235" t="str">
        <f>IF(H37="","",IF(AG37=TRUE,0,H37*K37*0.034*AK37))</f>
        <v/>
      </c>
      <c r="U37" s="235"/>
      <c r="V37" s="235"/>
      <c r="W37" s="235" t="str">
        <f>IF(H37="","",K37*H37*AH37)</f>
        <v/>
      </c>
      <c r="X37" s="235"/>
      <c r="Y37" s="236"/>
      <c r="AE37" s="91" t="s">
        <v>130</v>
      </c>
      <c r="AF37" s="91"/>
      <c r="AG37" s="58" t="b">
        <v>0</v>
      </c>
      <c r="AH37" s="58">
        <f t="shared" si="5"/>
        <v>1</v>
      </c>
      <c r="AI37" s="91"/>
      <c r="AJ37" s="58" t="e">
        <f t="shared" si="6"/>
        <v>#N/A</v>
      </c>
      <c r="AK37" s="58" t="e">
        <f t="shared" si="4"/>
        <v>#N/A</v>
      </c>
      <c r="AL37" s="91"/>
      <c r="AM37" s="110" t="s">
        <v>144</v>
      </c>
      <c r="AN37" s="110" t="b">
        <f>'Ａ（北）'!$V$4</f>
        <v>0</v>
      </c>
      <c r="AO37" s="110" t="s">
        <v>144</v>
      </c>
      <c r="AP37" s="110" t="b">
        <f>'Ａ（北）'!$X$4</f>
        <v>0</v>
      </c>
      <c r="AQ37" s="91"/>
      <c r="AR37" s="91"/>
      <c r="AS37" s="91"/>
      <c r="AT37" s="91"/>
      <c r="AU37" s="91"/>
      <c r="AV37" s="91"/>
      <c r="AW37" s="91"/>
      <c r="AX37" s="91"/>
      <c r="AY37" s="91"/>
      <c r="AZ37" s="91"/>
      <c r="BA37" s="91"/>
      <c r="BB37" s="91"/>
      <c r="BC37" s="91"/>
      <c r="BD37" s="91"/>
    </row>
    <row r="38" spans="2:56" s="2" customFormat="1" ht="20.100000000000001" customHeight="1">
      <c r="B38" s="415"/>
      <c r="C38" s="554"/>
      <c r="D38" s="554"/>
      <c r="E38" s="250"/>
      <c r="F38" s="514"/>
      <c r="G38" s="251"/>
      <c r="H38" s="250"/>
      <c r="I38" s="514"/>
      <c r="J38" s="251"/>
      <c r="K38" s="250"/>
      <c r="L38" s="514"/>
      <c r="M38" s="251"/>
      <c r="N38" s="515"/>
      <c r="O38" s="516"/>
      <c r="P38" s="517"/>
      <c r="Q38" s="235" t="str">
        <f>IF(H38="","",IF(AG38=TRUE,0,H38*K38*0.034*AJ38))</f>
        <v/>
      </c>
      <c r="R38" s="235"/>
      <c r="S38" s="235"/>
      <c r="T38" s="235" t="str">
        <f>IF(H38="","",IF(AG38=TRUE,0,H38*K38*0.034*AK38))</f>
        <v/>
      </c>
      <c r="U38" s="235"/>
      <c r="V38" s="235"/>
      <c r="W38" s="235" t="str">
        <f>IF(H38="","",K38*H38*AH38)</f>
        <v/>
      </c>
      <c r="X38" s="235"/>
      <c r="Y38" s="236"/>
      <c r="AE38" s="91" t="s">
        <v>131</v>
      </c>
      <c r="AF38" s="91"/>
      <c r="AG38" s="58" t="b">
        <v>0</v>
      </c>
      <c r="AH38" s="58">
        <f t="shared" si="5"/>
        <v>1</v>
      </c>
      <c r="AI38" s="91"/>
      <c r="AJ38" s="58" t="e">
        <f t="shared" si="6"/>
        <v>#N/A</v>
      </c>
      <c r="AK38" s="58" t="e">
        <f t="shared" si="4"/>
        <v>#N/A</v>
      </c>
      <c r="AL38" s="91"/>
      <c r="AM38" s="110" t="s">
        <v>145</v>
      </c>
      <c r="AN38" s="110" t="b">
        <f>'Ａ（西）'!$V$4</f>
        <v>0</v>
      </c>
      <c r="AO38" s="110" t="s">
        <v>145</v>
      </c>
      <c r="AP38" s="110" t="b">
        <f>'Ａ（西）'!$X$4</f>
        <v>0</v>
      </c>
      <c r="AQ38" s="91"/>
      <c r="AR38" s="91"/>
      <c r="AS38" s="91"/>
      <c r="AT38" s="91"/>
      <c r="AU38" s="91"/>
      <c r="AV38" s="91"/>
      <c r="AW38" s="91"/>
      <c r="AX38" s="91"/>
      <c r="AY38" s="91"/>
      <c r="AZ38" s="91"/>
      <c r="BA38" s="91"/>
      <c r="BB38" s="91"/>
      <c r="BC38" s="91"/>
      <c r="BD38" s="91"/>
    </row>
    <row r="39" spans="2:56" s="2" customFormat="1" ht="20.100000000000001" customHeight="1">
      <c r="B39" s="415"/>
      <c r="C39" s="554"/>
      <c r="D39" s="554"/>
      <c r="E39" s="250"/>
      <c r="F39" s="514"/>
      <c r="G39" s="251"/>
      <c r="H39" s="250"/>
      <c r="I39" s="514"/>
      <c r="J39" s="251"/>
      <c r="K39" s="250"/>
      <c r="L39" s="514"/>
      <c r="M39" s="251"/>
      <c r="N39" s="515"/>
      <c r="O39" s="516"/>
      <c r="P39" s="517"/>
      <c r="Q39" s="235" t="str">
        <f>IF(H39="","",IF(AG39=TRUE,0,H39*K39*0.034*AJ39))</f>
        <v/>
      </c>
      <c r="R39" s="235"/>
      <c r="S39" s="235"/>
      <c r="T39" s="235" t="str">
        <f>IF(H39="","",IF(AG39=TRUE,0,H39*K39*0.034*AK39))</f>
        <v/>
      </c>
      <c r="U39" s="235"/>
      <c r="V39" s="235"/>
      <c r="W39" s="235" t="str">
        <f>IF(H39="","",K39*H39*AH39)</f>
        <v/>
      </c>
      <c r="X39" s="235"/>
      <c r="Y39" s="236"/>
      <c r="AE39" s="91" t="s">
        <v>132</v>
      </c>
      <c r="AF39" s="91"/>
      <c r="AG39" s="58" t="b">
        <v>0</v>
      </c>
      <c r="AH39" s="58">
        <f t="shared" si="5"/>
        <v>1</v>
      </c>
      <c r="AI39" s="91"/>
      <c r="AJ39" s="58" t="e">
        <f t="shared" si="6"/>
        <v>#N/A</v>
      </c>
      <c r="AK39" s="58" t="e">
        <f t="shared" si="4"/>
        <v>#N/A</v>
      </c>
      <c r="AL39" s="91"/>
      <c r="AM39" s="110" t="s">
        <v>146</v>
      </c>
      <c r="AN39" s="110" t="b">
        <f>'Ａ（南東）'!$V$4</f>
        <v>0</v>
      </c>
      <c r="AO39" s="110" t="s">
        <v>146</v>
      </c>
      <c r="AP39" s="110" t="b">
        <f>'Ａ（南東）'!$X$4</f>
        <v>0</v>
      </c>
      <c r="AQ39" s="91"/>
      <c r="AR39" s="91"/>
      <c r="AS39" s="91"/>
      <c r="AT39" s="91"/>
      <c r="AU39" s="91"/>
      <c r="AV39" s="91"/>
      <c r="AW39" s="91"/>
      <c r="AX39" s="91"/>
      <c r="AY39" s="91"/>
      <c r="AZ39" s="91"/>
      <c r="BA39" s="91"/>
      <c r="BB39" s="91"/>
      <c r="BC39" s="91"/>
      <c r="BD39" s="91"/>
    </row>
    <row r="40" spans="2:56" s="2" customFormat="1" ht="20.100000000000001" customHeight="1">
      <c r="B40" s="415"/>
      <c r="C40" s="554"/>
      <c r="D40" s="554"/>
      <c r="E40" s="250"/>
      <c r="F40" s="514"/>
      <c r="G40" s="251"/>
      <c r="H40" s="250"/>
      <c r="I40" s="514"/>
      <c r="J40" s="251"/>
      <c r="K40" s="250"/>
      <c r="L40" s="514"/>
      <c r="M40" s="251"/>
      <c r="N40" s="515"/>
      <c r="O40" s="516"/>
      <c r="P40" s="517"/>
      <c r="Q40" s="235" t="str">
        <f t="shared" ref="Q40:Q44" si="7">IF(H40="","",IF(AG40=TRUE,0,H40*K40*0.034*AJ40))</f>
        <v/>
      </c>
      <c r="R40" s="235"/>
      <c r="S40" s="235"/>
      <c r="T40" s="235" t="str">
        <f t="shared" ref="T40:T44" si="8">IF(H40="","",IF(AG40=TRUE,0,H40*K40*0.034*AK40))</f>
        <v/>
      </c>
      <c r="U40" s="235"/>
      <c r="V40" s="235"/>
      <c r="W40" s="235" t="str">
        <f t="shared" ref="W40:W44" si="9">IF(H40="","",K40*H40*AH40)</f>
        <v/>
      </c>
      <c r="X40" s="235"/>
      <c r="Y40" s="236"/>
      <c r="AE40" s="91" t="s">
        <v>133</v>
      </c>
      <c r="AF40" s="91"/>
      <c r="AG40" s="58" t="b">
        <v>0</v>
      </c>
      <c r="AH40" s="58">
        <f t="shared" si="5"/>
        <v>1</v>
      </c>
      <c r="AI40" s="91"/>
      <c r="AJ40" s="58" t="e">
        <f t="shared" si="6"/>
        <v>#N/A</v>
      </c>
      <c r="AK40" s="58" t="e">
        <f t="shared" si="4"/>
        <v>#N/A</v>
      </c>
      <c r="AL40" s="91"/>
      <c r="AM40" s="110" t="s">
        <v>147</v>
      </c>
      <c r="AN40" s="110" t="b">
        <f>'Ａ（北東）'!$V$4</f>
        <v>0</v>
      </c>
      <c r="AO40" s="110" t="s">
        <v>147</v>
      </c>
      <c r="AP40" s="110" t="b">
        <f>'Ａ（北東）'!$X$4</f>
        <v>0</v>
      </c>
      <c r="AQ40" s="91"/>
      <c r="AR40" s="91"/>
      <c r="AS40" s="91"/>
      <c r="AT40" s="91"/>
      <c r="AU40" s="91"/>
      <c r="AV40" s="91"/>
      <c r="AW40" s="91"/>
      <c r="AX40" s="91"/>
      <c r="AY40" s="91"/>
      <c r="AZ40" s="91"/>
      <c r="BA40" s="91"/>
      <c r="BB40" s="91"/>
      <c r="BC40" s="91"/>
      <c r="BD40" s="91"/>
    </row>
    <row r="41" spans="2:56" s="2" customFormat="1" ht="20.100000000000001" customHeight="1">
      <c r="B41" s="415"/>
      <c r="C41" s="554"/>
      <c r="D41" s="554"/>
      <c r="E41" s="250"/>
      <c r="F41" s="514"/>
      <c r="G41" s="251"/>
      <c r="H41" s="250"/>
      <c r="I41" s="514"/>
      <c r="J41" s="251"/>
      <c r="K41" s="250"/>
      <c r="L41" s="514"/>
      <c r="M41" s="251"/>
      <c r="N41" s="515"/>
      <c r="O41" s="516"/>
      <c r="P41" s="517"/>
      <c r="Q41" s="235" t="str">
        <f t="shared" si="7"/>
        <v/>
      </c>
      <c r="R41" s="235"/>
      <c r="S41" s="235"/>
      <c r="T41" s="235" t="str">
        <f t="shared" si="8"/>
        <v/>
      </c>
      <c r="U41" s="235"/>
      <c r="V41" s="235"/>
      <c r="W41" s="235" t="str">
        <f t="shared" si="9"/>
        <v/>
      </c>
      <c r="X41" s="235"/>
      <c r="Y41" s="236"/>
      <c r="AE41" s="91" t="s">
        <v>134</v>
      </c>
      <c r="AF41" s="91"/>
      <c r="AG41" s="58" t="b">
        <v>0</v>
      </c>
      <c r="AH41" s="58">
        <f t="shared" si="5"/>
        <v>1</v>
      </c>
      <c r="AI41" s="91"/>
      <c r="AJ41" s="58" t="e">
        <f t="shared" si="6"/>
        <v>#N/A</v>
      </c>
      <c r="AK41" s="58" t="e">
        <f t="shared" si="4"/>
        <v>#N/A</v>
      </c>
      <c r="AL41" s="91"/>
      <c r="AM41" s="110" t="s">
        <v>148</v>
      </c>
      <c r="AN41" s="110" t="b">
        <f>'Ａ（北西）'!$V$4</f>
        <v>0</v>
      </c>
      <c r="AO41" s="110" t="s">
        <v>148</v>
      </c>
      <c r="AP41" s="110" t="b">
        <f>'Ａ（北西）'!$X$4</f>
        <v>0</v>
      </c>
      <c r="AQ41" s="91"/>
      <c r="AR41" s="91"/>
      <c r="AS41" s="91"/>
      <c r="AT41" s="91"/>
      <c r="AU41" s="91"/>
      <c r="AV41" s="91"/>
      <c r="AW41" s="91"/>
      <c r="AX41" s="91"/>
      <c r="AY41" s="91"/>
      <c r="AZ41" s="91"/>
      <c r="BA41" s="91"/>
      <c r="BB41" s="91"/>
      <c r="BC41" s="91"/>
      <c r="BD41" s="91"/>
    </row>
    <row r="42" spans="2:56" s="2" customFormat="1" ht="20.100000000000001" customHeight="1">
      <c r="B42" s="415"/>
      <c r="C42" s="554"/>
      <c r="D42" s="554"/>
      <c r="E42" s="250"/>
      <c r="F42" s="514"/>
      <c r="G42" s="251"/>
      <c r="H42" s="250"/>
      <c r="I42" s="514"/>
      <c r="J42" s="251"/>
      <c r="K42" s="250"/>
      <c r="L42" s="514"/>
      <c r="M42" s="251"/>
      <c r="N42" s="515"/>
      <c r="O42" s="516"/>
      <c r="P42" s="517"/>
      <c r="Q42" s="235" t="str">
        <f t="shared" si="7"/>
        <v/>
      </c>
      <c r="R42" s="235"/>
      <c r="S42" s="235"/>
      <c r="T42" s="235" t="str">
        <f t="shared" si="8"/>
        <v/>
      </c>
      <c r="U42" s="235"/>
      <c r="V42" s="235"/>
      <c r="W42" s="235" t="str">
        <f t="shared" si="9"/>
        <v/>
      </c>
      <c r="X42" s="235"/>
      <c r="Y42" s="236"/>
      <c r="AE42" s="91" t="s">
        <v>135</v>
      </c>
      <c r="AF42" s="91"/>
      <c r="AG42" s="58" t="b">
        <v>0</v>
      </c>
      <c r="AH42" s="58">
        <f t="shared" si="5"/>
        <v>1</v>
      </c>
      <c r="AI42" s="91"/>
      <c r="AJ42" s="58" t="e">
        <f t="shared" si="6"/>
        <v>#N/A</v>
      </c>
      <c r="AK42" s="58" t="e">
        <f t="shared" si="4"/>
        <v>#N/A</v>
      </c>
      <c r="AL42" s="91"/>
      <c r="AM42" s="110" t="s">
        <v>149</v>
      </c>
      <c r="AN42" s="110" t="b">
        <f>'Ａ（南西）'!$V$4</f>
        <v>0</v>
      </c>
      <c r="AO42" s="110" t="s">
        <v>149</v>
      </c>
      <c r="AP42" s="110" t="b">
        <f>'Ａ（南西）'!$X$4</f>
        <v>0</v>
      </c>
      <c r="AQ42" s="91"/>
      <c r="AR42" s="91"/>
      <c r="AS42" s="91"/>
      <c r="AT42" s="91"/>
      <c r="AU42" s="91"/>
      <c r="AV42" s="91"/>
      <c r="AW42" s="91"/>
      <c r="AX42" s="91"/>
      <c r="AY42" s="91"/>
      <c r="AZ42" s="91"/>
      <c r="BA42" s="91"/>
      <c r="BB42" s="91"/>
      <c r="BC42" s="91"/>
      <c r="BD42" s="91"/>
    </row>
    <row r="43" spans="2:56" s="2" customFormat="1" ht="20.100000000000001" customHeight="1">
      <c r="B43" s="415"/>
      <c r="C43" s="554"/>
      <c r="D43" s="554"/>
      <c r="E43" s="250"/>
      <c r="F43" s="514"/>
      <c r="G43" s="251"/>
      <c r="H43" s="250"/>
      <c r="I43" s="514"/>
      <c r="J43" s="251"/>
      <c r="K43" s="250"/>
      <c r="L43" s="514"/>
      <c r="M43" s="251"/>
      <c r="N43" s="515"/>
      <c r="O43" s="516"/>
      <c r="P43" s="517"/>
      <c r="Q43" s="235" t="str">
        <f t="shared" si="7"/>
        <v/>
      </c>
      <c r="R43" s="235"/>
      <c r="S43" s="235"/>
      <c r="T43" s="235" t="str">
        <f t="shared" si="8"/>
        <v/>
      </c>
      <c r="U43" s="235"/>
      <c r="V43" s="235"/>
      <c r="W43" s="235" t="str">
        <f t="shared" si="9"/>
        <v/>
      </c>
      <c r="X43" s="235"/>
      <c r="Y43" s="236"/>
      <c r="AE43" s="91"/>
      <c r="AF43" s="91"/>
      <c r="AG43" s="58" t="b">
        <v>0</v>
      </c>
      <c r="AH43" s="58">
        <f t="shared" si="5"/>
        <v>1</v>
      </c>
      <c r="AI43" s="91"/>
      <c r="AJ43" s="58" t="e">
        <f t="shared" si="6"/>
        <v>#N/A</v>
      </c>
      <c r="AK43" s="58" t="e">
        <f t="shared" si="4"/>
        <v>#N/A</v>
      </c>
      <c r="AL43" s="91"/>
      <c r="AM43" s="91"/>
      <c r="AN43" s="91"/>
      <c r="AO43" s="91"/>
      <c r="AP43" s="91"/>
      <c r="AQ43" s="91"/>
      <c r="AR43" s="91"/>
      <c r="AS43" s="91"/>
      <c r="AT43" s="91"/>
      <c r="AU43" s="91"/>
      <c r="AV43" s="91"/>
      <c r="AW43" s="91"/>
      <c r="AX43" s="91"/>
      <c r="AY43" s="91"/>
      <c r="AZ43" s="91"/>
      <c r="BA43" s="91"/>
      <c r="BB43" s="91"/>
      <c r="BC43" s="91"/>
      <c r="BD43" s="91"/>
    </row>
    <row r="44" spans="2:56" s="2" customFormat="1" ht="20.100000000000001" customHeight="1" thickBot="1">
      <c r="B44" s="422"/>
      <c r="C44" s="557"/>
      <c r="D44" s="557"/>
      <c r="E44" s="239"/>
      <c r="F44" s="558"/>
      <c r="G44" s="240"/>
      <c r="H44" s="239"/>
      <c r="I44" s="558"/>
      <c r="J44" s="240"/>
      <c r="K44" s="239"/>
      <c r="L44" s="558"/>
      <c r="M44" s="240"/>
      <c r="N44" s="559"/>
      <c r="O44" s="560"/>
      <c r="P44" s="561"/>
      <c r="Q44" s="289" t="str">
        <f t="shared" si="7"/>
        <v/>
      </c>
      <c r="R44" s="289"/>
      <c r="S44" s="289"/>
      <c r="T44" s="289" t="str">
        <f t="shared" si="8"/>
        <v/>
      </c>
      <c r="U44" s="289"/>
      <c r="V44" s="289"/>
      <c r="W44" s="289" t="str">
        <f t="shared" si="9"/>
        <v/>
      </c>
      <c r="X44" s="289"/>
      <c r="Y44" s="290"/>
      <c r="AE44" s="91"/>
      <c r="AF44" s="91"/>
      <c r="AG44" s="58" t="b">
        <v>0</v>
      </c>
      <c r="AH44" s="58">
        <f t="shared" si="5"/>
        <v>1</v>
      </c>
      <c r="AI44" s="91"/>
      <c r="AJ44" s="58" t="e">
        <f t="shared" si="6"/>
        <v>#N/A</v>
      </c>
      <c r="AK44" s="58" t="e">
        <f t="shared" si="4"/>
        <v>#N/A</v>
      </c>
      <c r="AL44" s="91"/>
      <c r="AM44" s="91"/>
      <c r="AN44" s="91"/>
      <c r="AO44" s="91"/>
      <c r="AP44" s="91"/>
      <c r="AQ44" s="91"/>
      <c r="AR44" s="91"/>
      <c r="AS44" s="91"/>
      <c r="AT44" s="91"/>
      <c r="AU44" s="91"/>
      <c r="AV44" s="91"/>
      <c r="AW44" s="91"/>
      <c r="AX44" s="91"/>
      <c r="AY44" s="91"/>
      <c r="AZ44" s="91"/>
      <c r="BA44" s="91"/>
      <c r="BB44" s="91"/>
      <c r="BC44" s="91"/>
      <c r="BD44" s="91"/>
    </row>
    <row r="45" spans="2:56" s="2" customFormat="1" ht="20.100000000000001" customHeight="1" thickBot="1">
      <c r="B45" s="555" t="s">
        <v>120</v>
      </c>
      <c r="C45" s="556"/>
      <c r="D45" s="556"/>
      <c r="E45" s="556"/>
      <c r="F45" s="556"/>
      <c r="G45" s="556"/>
      <c r="H45" s="220">
        <f>SUM(H35:J44)</f>
        <v>0</v>
      </c>
      <c r="I45" s="220"/>
      <c r="J45" s="220"/>
      <c r="K45" s="546" t="s">
        <v>79</v>
      </c>
      <c r="L45" s="547"/>
      <c r="M45" s="547"/>
      <c r="N45" s="546" t="s">
        <v>79</v>
      </c>
      <c r="O45" s="547"/>
      <c r="P45" s="547"/>
      <c r="Q45" s="220">
        <f>SUM(Q35:S44)</f>
        <v>0</v>
      </c>
      <c r="R45" s="220"/>
      <c r="S45" s="220"/>
      <c r="T45" s="220">
        <f>IF(共通条件・結果!AA7="８地域","-",SUM(T35:V44))</f>
        <v>0</v>
      </c>
      <c r="U45" s="220"/>
      <c r="V45" s="220"/>
      <c r="W45" s="220">
        <f>SUM(W35:Y44)</f>
        <v>0</v>
      </c>
      <c r="X45" s="220"/>
      <c r="Y45" s="221"/>
      <c r="AE45" s="91"/>
      <c r="AF45" s="91"/>
      <c r="AG45" s="91"/>
      <c r="AH45" s="91"/>
      <c r="AI45" s="91"/>
      <c r="AJ45" s="58"/>
      <c r="AK45" s="58"/>
      <c r="AL45" s="91"/>
      <c r="AM45" s="91"/>
      <c r="AN45" s="91"/>
      <c r="AO45" s="91"/>
      <c r="AP45" s="91"/>
      <c r="AQ45" s="91"/>
      <c r="AR45" s="91"/>
      <c r="AS45" s="91"/>
      <c r="AT45" s="91"/>
      <c r="AU45" s="91"/>
      <c r="AV45" s="91"/>
      <c r="AW45" s="91"/>
      <c r="AX45" s="91"/>
      <c r="AY45" s="91"/>
      <c r="AZ45" s="91"/>
      <c r="BA45" s="91"/>
      <c r="BB45" s="91"/>
      <c r="BC45" s="91"/>
      <c r="BD45" s="91"/>
    </row>
    <row r="46" spans="2:56" s="2" customFormat="1" ht="20.100000000000001" customHeight="1">
      <c r="B46" s="111"/>
      <c r="AE46" s="91"/>
      <c r="AF46" s="91"/>
      <c r="AG46" s="91"/>
      <c r="AH46" s="91"/>
      <c r="AI46" s="91"/>
      <c r="AJ46" s="58"/>
      <c r="AK46" s="58"/>
      <c r="AL46" s="91"/>
      <c r="AM46" s="91"/>
      <c r="AN46" s="91"/>
      <c r="AO46" s="91"/>
      <c r="AP46" s="91"/>
      <c r="AQ46" s="91"/>
      <c r="AR46" s="91"/>
      <c r="AS46" s="91"/>
      <c r="AT46" s="91"/>
      <c r="AU46" s="91"/>
      <c r="AV46" s="91"/>
      <c r="AW46" s="91"/>
      <c r="AX46" s="91"/>
      <c r="AY46" s="91"/>
      <c r="AZ46" s="91"/>
      <c r="BA46" s="91"/>
      <c r="BB46" s="91"/>
      <c r="BC46" s="91"/>
      <c r="BD46" s="91"/>
    </row>
    <row r="47" spans="2:56" s="2" customFormat="1" ht="20.100000000000001" customHeight="1">
      <c r="AE47" s="91"/>
      <c r="AF47" s="91"/>
      <c r="AG47" s="91"/>
      <c r="AH47" s="91"/>
      <c r="AI47" s="91"/>
      <c r="AJ47" s="58"/>
      <c r="AK47" s="58"/>
      <c r="AL47" s="91"/>
      <c r="AM47" s="91"/>
      <c r="AN47" s="91"/>
      <c r="AO47" s="91"/>
      <c r="AP47" s="91"/>
      <c r="AQ47" s="91"/>
      <c r="AR47" s="91"/>
      <c r="AS47" s="91"/>
      <c r="AT47" s="91"/>
      <c r="AU47" s="91"/>
      <c r="AV47" s="91"/>
      <c r="AW47" s="91"/>
      <c r="AX47" s="91"/>
      <c r="AY47" s="91"/>
      <c r="AZ47" s="91"/>
      <c r="BA47" s="91"/>
      <c r="BB47" s="91"/>
      <c r="BC47" s="91"/>
      <c r="BD47" s="91"/>
    </row>
    <row r="48" spans="2:56" s="3" customFormat="1" ht="20.100000000000001" customHeight="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row>
    <row r="49" spans="25:56" s="3" customFormat="1" ht="20.100000000000001" customHeight="1">
      <c r="Y49" s="2"/>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row>
    <row r="50" spans="25:56" s="3" customFormat="1" ht="20.100000000000001" customHeight="1">
      <c r="Y50" s="2"/>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row>
    <row r="51" spans="25:56" s="3" customFormat="1" ht="20.100000000000001" customHeight="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row>
    <row r="52" spans="25:56" s="3" customFormat="1" ht="20.100000000000001" customHeight="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row>
    <row r="53" spans="25:56" s="3" customFormat="1" ht="20.100000000000001" customHeight="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row>
    <row r="54" spans="25:56" s="3" customFormat="1" ht="20.100000000000001" customHeight="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row>
    <row r="55" spans="25:56" s="3" customFormat="1" ht="20.100000000000001" customHeight="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row>
    <row r="56" spans="25:56" s="3" customFormat="1" ht="20.100000000000001" customHeight="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row>
    <row r="57" spans="25:56" s="3" customFormat="1" ht="20.100000000000001" customHeight="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row>
    <row r="58" spans="25:56" s="3" customFormat="1" ht="20.100000000000001" customHeight="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row>
    <row r="59" spans="25:56" s="3" customFormat="1" ht="20.100000000000001" customHeight="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row>
    <row r="60" spans="25:56" s="3" customFormat="1" ht="20.100000000000001" customHeight="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row>
    <row r="61" spans="25:56" s="3" customFormat="1" ht="20.100000000000001" customHeight="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row>
    <row r="62" spans="25:56" s="3" customFormat="1" ht="20.100000000000001" customHeight="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row>
    <row r="63" spans="25:56" s="3" customFormat="1" ht="20.100000000000001" customHeight="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row>
    <row r="64" spans="25:56" s="3" customFormat="1" ht="20.100000000000001" customHeight="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row>
    <row r="65" spans="31:56" s="3" customFormat="1" ht="20.100000000000001" customHeight="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row>
    <row r="66" spans="31:56" s="3" customFormat="1" ht="20.100000000000001" customHeight="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row>
    <row r="67" spans="31:56" s="3" customFormat="1" ht="20.100000000000001" customHeight="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row>
    <row r="68" spans="31:56" s="3" customFormat="1" ht="20.100000000000001" customHeight="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row>
    <row r="69" spans="31:56" s="3" customFormat="1" ht="20.100000000000001" customHeight="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row>
    <row r="70" spans="31:56" s="3" customFormat="1" ht="20.100000000000001" customHeight="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row>
    <row r="71" spans="31:56" s="3" customFormat="1" ht="20.100000000000001" customHeight="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row>
    <row r="72" spans="31:56" s="3" customFormat="1" ht="20.100000000000001" customHeight="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row>
    <row r="73" spans="31:56" s="3" customFormat="1" ht="20.100000000000001" customHeight="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row>
    <row r="74" spans="31:56" s="3" customFormat="1" ht="20.100000000000001" customHeight="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row>
    <row r="75" spans="31:56" s="3" customFormat="1" ht="20.100000000000001" customHeight="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row>
    <row r="76" spans="31:56" s="3" customFormat="1" ht="20.100000000000001" customHeight="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row>
    <row r="77" spans="31:56" s="3" customFormat="1" ht="20.100000000000001" customHeight="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row>
    <row r="78" spans="31:56" s="3" customFormat="1" ht="20.100000000000001" customHeight="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row>
    <row r="79" spans="31:56" s="3" customFormat="1" ht="20.100000000000001" customHeight="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row>
    <row r="80" spans="31:56" s="3" customFormat="1" ht="20.100000000000001" customHeight="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row>
    <row r="81" spans="31:56" s="3" customFormat="1" ht="20.100000000000001" customHeight="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row>
    <row r="82" spans="31:56" s="3" customFormat="1" ht="20.100000000000001" customHeight="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row>
    <row r="83" spans="31:56" s="3" customFormat="1" ht="20.100000000000001" customHeight="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row>
    <row r="84" spans="31:56" s="3" customFormat="1" ht="20.100000000000001" customHeight="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row>
    <row r="85" spans="31:56" s="3" customFormat="1" ht="20.100000000000001" customHeight="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row>
    <row r="86" spans="31:56" s="3" customFormat="1" ht="20.100000000000001" customHeight="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row>
    <row r="87" spans="31:56" s="3" customFormat="1" ht="20.100000000000001" customHeight="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row>
    <row r="88" spans="31:56" s="3" customFormat="1" ht="20.100000000000001" customHeight="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row>
    <row r="89" spans="31:56" s="3" customFormat="1" ht="20.100000000000001" customHeight="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row>
    <row r="90" spans="31:56" s="3" customFormat="1" ht="20.100000000000001" customHeight="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row>
    <row r="91" spans="31:56" s="3" customFormat="1" ht="20.100000000000001" customHeight="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row>
    <row r="92" spans="31:56" s="3" customFormat="1" ht="20.100000000000001" customHeight="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row>
    <row r="93" spans="31:56" s="3" customFormat="1" ht="20.100000000000001" customHeight="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row>
    <row r="94" spans="31:56" s="3" customFormat="1" ht="20.100000000000001" customHeight="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row>
    <row r="95" spans="31:56" s="3" customFormat="1" ht="20.100000000000001" customHeight="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row>
    <row r="96" spans="31:56" s="3" customFormat="1" ht="20.100000000000001" customHeight="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row>
    <row r="97" spans="31:56" s="3" customFormat="1" ht="20.100000000000001" customHeight="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row>
    <row r="98" spans="31:56" s="3" customFormat="1" ht="20.100000000000001" customHeight="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row>
    <row r="99" spans="31:56" s="3" customFormat="1" ht="20.100000000000001" customHeight="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row>
    <row r="100" spans="31:56" s="3" customFormat="1" ht="20.100000000000001" customHeight="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row>
    <row r="101" spans="31:56" s="3" customFormat="1" ht="20.100000000000001" customHeight="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row>
    <row r="102" spans="31:56" s="3" customFormat="1" ht="20.100000000000001" customHeight="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row>
    <row r="103" spans="31:56" s="3" customFormat="1" ht="20.100000000000001" customHeight="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row>
    <row r="104" spans="31:56" s="3" customFormat="1" ht="20.100000000000001" customHeight="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row>
    <row r="105" spans="31:56" s="3" customFormat="1" ht="20.100000000000001" customHeight="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row>
    <row r="106" spans="31:56" s="3" customFormat="1" ht="20.100000000000001" customHeight="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row>
    <row r="107" spans="31:56" s="3" customFormat="1" ht="20.100000000000001" customHeight="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row>
    <row r="108" spans="31:56" s="3" customFormat="1" ht="20.100000000000001" customHeight="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row>
    <row r="109" spans="31:56" s="3" customFormat="1" ht="20.100000000000001" customHeight="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row>
    <row r="110" spans="31:56" s="3" customFormat="1" ht="20.100000000000001" customHeight="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row>
    <row r="111" spans="31:56" s="3" customFormat="1" ht="20.100000000000001" customHeight="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row>
    <row r="112" spans="31:56" s="3" customFormat="1" ht="20.100000000000001" customHeight="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row>
    <row r="113" spans="31:56" s="3" customFormat="1" ht="20.100000000000001" customHeight="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row>
    <row r="114" spans="31:56" s="3" customFormat="1" ht="20.100000000000001" customHeight="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row>
    <row r="115" spans="31:56" s="3" customFormat="1" ht="20.100000000000001" customHeight="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row>
    <row r="116" spans="31:56" s="3" customFormat="1" ht="20.100000000000001" customHeight="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row>
    <row r="117" spans="31:56" s="3" customFormat="1" ht="20.100000000000001" customHeight="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row>
    <row r="118" spans="31:56" s="3" customFormat="1" ht="20.100000000000001" customHeight="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row>
    <row r="119" spans="31:56" s="3" customFormat="1" ht="20.100000000000001" customHeight="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row>
    <row r="120" spans="31:56" s="3" customFormat="1" ht="20.100000000000001" customHeight="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row>
    <row r="121" spans="31:56" s="3" customFormat="1" ht="20.100000000000001" customHeight="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row>
    <row r="122" spans="31:56" s="3" customFormat="1" ht="20.100000000000001" customHeight="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row>
    <row r="123" spans="31:56" s="3" customFormat="1" ht="20.100000000000001" customHeight="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row>
    <row r="124" spans="31:56" s="3" customFormat="1" ht="20.100000000000001" customHeight="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row>
    <row r="125" spans="31:56" s="3" customFormat="1" ht="20.100000000000001" customHeight="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row>
    <row r="126" spans="31:56" s="3" customFormat="1" ht="20.100000000000001" customHeight="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row>
    <row r="127" spans="31:56" s="3" customFormat="1" ht="20.100000000000001" customHeight="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row>
    <row r="128" spans="31:56" s="3" customFormat="1" ht="20.100000000000001" customHeight="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row>
    <row r="129" spans="31:56" s="3" customFormat="1" ht="20.100000000000001" customHeight="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row>
    <row r="130" spans="31:56" s="3" customFormat="1" ht="20.100000000000001" customHeight="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row>
    <row r="131" spans="31:56" s="3" customFormat="1" ht="20.100000000000001" customHeight="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row>
    <row r="132" spans="31:56" s="3" customFormat="1" ht="20.100000000000001" customHeight="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row>
    <row r="133" spans="31:56" s="3" customFormat="1" ht="20.100000000000001" customHeight="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row>
    <row r="134" spans="31:56" s="3" customFormat="1" ht="20.100000000000001" customHeight="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row>
    <row r="135" spans="31:56" s="3" customFormat="1" ht="20.100000000000001" customHeight="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row>
    <row r="136" spans="31:56" s="3" customFormat="1" ht="20.100000000000001" customHeight="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row>
    <row r="137" spans="31:56" s="3" customFormat="1" ht="20.100000000000001" customHeight="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row>
    <row r="138" spans="31:56" s="3" customFormat="1" ht="20.100000000000001" customHeight="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row>
    <row r="139" spans="31:56" s="3" customFormat="1" ht="20.100000000000001" customHeight="1">
      <c r="AE139" s="91"/>
      <c r="AF139" s="91"/>
      <c r="AG139" s="91"/>
      <c r="AH139" s="91"/>
      <c r="AI139" s="91"/>
      <c r="AJ139" s="91"/>
      <c r="AK139" s="91"/>
      <c r="AL139" s="91"/>
      <c r="AM139" s="38"/>
      <c r="AN139" s="38"/>
      <c r="AO139" s="38"/>
      <c r="AP139" s="38"/>
      <c r="AQ139" s="91"/>
      <c r="AR139" s="91"/>
      <c r="AS139" s="91"/>
      <c r="AT139" s="91"/>
      <c r="AU139" s="91"/>
      <c r="AV139" s="91"/>
      <c r="AW139" s="91"/>
      <c r="AX139" s="91"/>
      <c r="AY139" s="91"/>
      <c r="AZ139" s="91"/>
      <c r="BA139" s="91"/>
      <c r="BB139" s="91"/>
      <c r="BC139" s="91"/>
      <c r="BD139" s="91"/>
    </row>
    <row r="140" spans="31:56" s="3" customFormat="1" ht="20.100000000000001" customHeight="1">
      <c r="AE140" s="91"/>
      <c r="AF140" s="91"/>
      <c r="AG140" s="91"/>
      <c r="AH140" s="91"/>
      <c r="AI140" s="91"/>
      <c r="AJ140" s="91"/>
      <c r="AK140" s="91"/>
      <c r="AL140" s="91"/>
      <c r="AM140" s="38"/>
      <c r="AN140" s="38"/>
      <c r="AO140" s="38"/>
      <c r="AP140" s="38"/>
      <c r="AQ140" s="91"/>
      <c r="AR140" s="91"/>
      <c r="AS140" s="91"/>
      <c r="AT140" s="91"/>
      <c r="AU140" s="91"/>
      <c r="AV140" s="91"/>
      <c r="AW140" s="91"/>
      <c r="AX140" s="91"/>
      <c r="AY140" s="91"/>
      <c r="AZ140" s="91"/>
      <c r="BA140" s="91"/>
      <c r="BB140" s="91"/>
      <c r="BC140" s="91"/>
      <c r="BD140" s="91"/>
    </row>
    <row r="141" spans="31:56" s="3" customFormat="1" ht="20.100000000000001" customHeight="1">
      <c r="AE141" s="91"/>
      <c r="AF141" s="91"/>
      <c r="AG141" s="91"/>
      <c r="AH141" s="91"/>
      <c r="AI141" s="91"/>
      <c r="AJ141" s="91"/>
      <c r="AK141" s="91"/>
      <c r="AL141" s="91"/>
      <c r="AM141" s="38"/>
      <c r="AN141" s="38"/>
      <c r="AO141" s="38"/>
      <c r="AP141" s="38"/>
      <c r="AQ141" s="91"/>
      <c r="AR141" s="91"/>
      <c r="AS141" s="91"/>
      <c r="AT141" s="91"/>
      <c r="AU141" s="91"/>
      <c r="AV141" s="91"/>
      <c r="AW141" s="91"/>
      <c r="AX141" s="91"/>
      <c r="AY141" s="91"/>
      <c r="AZ141" s="91"/>
      <c r="BA141" s="91"/>
      <c r="BB141" s="91"/>
      <c r="BC141" s="91"/>
      <c r="BD141" s="91"/>
    </row>
    <row r="142" spans="31:56" s="3" customFormat="1" ht="20.100000000000001" customHeight="1">
      <c r="AE142" s="91"/>
      <c r="AF142" s="91"/>
      <c r="AG142" s="91"/>
      <c r="AH142" s="91"/>
      <c r="AI142" s="91"/>
      <c r="AJ142" s="91"/>
      <c r="AK142" s="91"/>
      <c r="AL142" s="91"/>
      <c r="AM142" s="38"/>
      <c r="AN142" s="38"/>
      <c r="AO142" s="38"/>
      <c r="AP142" s="38"/>
      <c r="AQ142" s="91"/>
      <c r="AR142" s="91"/>
      <c r="AS142" s="91"/>
      <c r="AT142" s="91"/>
      <c r="AU142" s="91"/>
      <c r="AV142" s="91"/>
      <c r="AW142" s="91"/>
      <c r="AX142" s="91"/>
      <c r="AY142" s="91"/>
      <c r="AZ142" s="91"/>
      <c r="BA142" s="91"/>
      <c r="BB142" s="91"/>
      <c r="BC142" s="91"/>
      <c r="BD142" s="91"/>
    </row>
    <row r="143" spans="31:56" s="3" customFormat="1" ht="20.100000000000001" customHeight="1">
      <c r="AE143" s="91"/>
      <c r="AF143" s="91"/>
      <c r="AG143" s="91"/>
      <c r="AH143" s="91"/>
      <c r="AI143" s="91"/>
      <c r="AJ143" s="91"/>
      <c r="AK143" s="91"/>
      <c r="AL143" s="91"/>
      <c r="AM143" s="38"/>
      <c r="AN143" s="38"/>
      <c r="AO143" s="38"/>
      <c r="AP143" s="38"/>
      <c r="AQ143" s="91"/>
      <c r="AR143" s="91"/>
      <c r="AS143" s="91"/>
      <c r="AT143" s="91"/>
      <c r="AU143" s="91"/>
      <c r="AV143" s="91"/>
      <c r="AW143" s="91"/>
      <c r="AX143" s="91"/>
      <c r="AY143" s="91"/>
      <c r="AZ143" s="91"/>
      <c r="BA143" s="91"/>
      <c r="BB143" s="91"/>
      <c r="BC143" s="91"/>
      <c r="BD143" s="91"/>
    </row>
    <row r="144" spans="31:5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sheetProtection algorithmName="SHA-512" hashValue="bONtdSP30lLcBltUMy2xbXyz6FabvvzSN065WaVHMcGO96z9e+RFB3+J8RLf7aUg4FkD3JiFe+zuRXeooiUMlg==" saltValue="M+QCc1NUbtZD65VCYXZo+g==" spinCount="100000" sheet="1" objects="1" scenarios="1" selectLockedCells="1"/>
  <mergeCells count="187">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B36:D36"/>
    <mergeCell ref="E36:G36"/>
    <mergeCell ref="H36:J36"/>
    <mergeCell ref="K36:M36"/>
    <mergeCell ref="N36:P36"/>
    <mergeCell ref="Q36:S36"/>
    <mergeCell ref="T36:V36"/>
    <mergeCell ref="W36:Y36"/>
    <mergeCell ref="T37:V37"/>
    <mergeCell ref="W37:Y37"/>
    <mergeCell ref="T33:V34"/>
    <mergeCell ref="W33:Y34"/>
    <mergeCell ref="AJ33:AK33"/>
    <mergeCell ref="B35:D35"/>
    <mergeCell ref="E35:G35"/>
    <mergeCell ref="H35:J35"/>
    <mergeCell ref="K35:M35"/>
    <mergeCell ref="N35:P35"/>
    <mergeCell ref="Q35:S35"/>
    <mergeCell ref="T35:V35"/>
    <mergeCell ref="W35:Y35"/>
    <mergeCell ref="B30:G30"/>
    <mergeCell ref="H30:J30"/>
    <mergeCell ref="K30:M30"/>
    <mergeCell ref="N30:P30"/>
    <mergeCell ref="Q30:S30"/>
    <mergeCell ref="B33:D34"/>
    <mergeCell ref="E33:G34"/>
    <mergeCell ref="H33:J34"/>
    <mergeCell ref="K33:M34"/>
    <mergeCell ref="N33:P34"/>
    <mergeCell ref="Q33:S34"/>
    <mergeCell ref="B29:C29"/>
    <mergeCell ref="D29:G29"/>
    <mergeCell ref="H29:J29"/>
    <mergeCell ref="K29:M29"/>
    <mergeCell ref="N29:P29"/>
    <mergeCell ref="Q29:S29"/>
    <mergeCell ref="B28:C28"/>
    <mergeCell ref="D28:G28"/>
    <mergeCell ref="H28:J28"/>
    <mergeCell ref="K28:M28"/>
    <mergeCell ref="N28:P28"/>
    <mergeCell ref="Q28:S28"/>
    <mergeCell ref="B27:C27"/>
    <mergeCell ref="D27:G27"/>
    <mergeCell ref="H27:J27"/>
    <mergeCell ref="K27:M27"/>
    <mergeCell ref="N27:P27"/>
    <mergeCell ref="Q27:S27"/>
    <mergeCell ref="B26:C26"/>
    <mergeCell ref="D26:G26"/>
    <mergeCell ref="H26:J26"/>
    <mergeCell ref="K26:M26"/>
    <mergeCell ref="N26:P26"/>
    <mergeCell ref="Q26:S26"/>
    <mergeCell ref="B25:C25"/>
    <mergeCell ref="D25:G25"/>
    <mergeCell ref="H25:J25"/>
    <mergeCell ref="K25:M25"/>
    <mergeCell ref="N25:P25"/>
    <mergeCell ref="Q25:S25"/>
    <mergeCell ref="B24:C24"/>
    <mergeCell ref="D24:G24"/>
    <mergeCell ref="H24:J24"/>
    <mergeCell ref="K24:M24"/>
    <mergeCell ref="N24:P24"/>
    <mergeCell ref="Q24:S2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15:G15"/>
    <mergeCell ref="H15:I15"/>
    <mergeCell ref="B20:C21"/>
    <mergeCell ref="D20:G21"/>
    <mergeCell ref="H20:J21"/>
    <mergeCell ref="K20:M21"/>
    <mergeCell ref="B13:C13"/>
    <mergeCell ref="D13:G13"/>
    <mergeCell ref="H13:I13"/>
    <mergeCell ref="B14:C14"/>
    <mergeCell ref="D14:G14"/>
    <mergeCell ref="H14:I14"/>
    <mergeCell ref="B11:C11"/>
    <mergeCell ref="D11:G11"/>
    <mergeCell ref="H11:I11"/>
    <mergeCell ref="B12:C12"/>
    <mergeCell ref="D12:G12"/>
    <mergeCell ref="H12:I12"/>
    <mergeCell ref="B9:C9"/>
    <mergeCell ref="D9:G9"/>
    <mergeCell ref="H9:I9"/>
    <mergeCell ref="B10:C10"/>
    <mergeCell ref="D10:G10"/>
    <mergeCell ref="H10:I10"/>
    <mergeCell ref="B7:C7"/>
    <mergeCell ref="D7:G7"/>
    <mergeCell ref="H7:I7"/>
    <mergeCell ref="B8:C8"/>
    <mergeCell ref="D8:G8"/>
    <mergeCell ref="H8:I8"/>
    <mergeCell ref="B2:AC2"/>
    <mergeCell ref="K3:N3"/>
    <mergeCell ref="P3:S3"/>
    <mergeCell ref="B5:C6"/>
    <mergeCell ref="D5:G6"/>
    <mergeCell ref="H5:I6"/>
  </mergeCells>
  <phoneticPr fontId="4"/>
  <conditionalFormatting sqref="K22:M29">
    <cfRule type="expression" dxfId="0" priority="2">
      <formula>$AG$3=2</formula>
    </cfRule>
  </conditionalFormatting>
  <dataValidations count="2">
    <dataValidation type="list" allowBlank="1" showInputMessage="1" showErrorMessage="1" sqref="E35:G44" xr:uid="{7DBE2EFD-53EC-47F7-9F23-46F51674B6A3}">
      <formula1>方位</formula1>
    </dataValidation>
    <dataValidation type="list" allowBlank="1" showInputMessage="1" showErrorMessage="1" sqref="D7:G14" xr:uid="{45B17623-FA64-41E6-AF57-221CD748D205}">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2.3[H28]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14</xdr:col>
                    <xdr:colOff>9525</xdr:colOff>
                    <xdr:row>34</xdr:row>
                    <xdr:rowOff>19050</xdr:rowOff>
                  </from>
                  <to>
                    <xdr:col>15</xdr:col>
                    <xdr:colOff>57150</xdr:colOff>
                    <xdr:row>34</xdr:row>
                    <xdr:rowOff>228600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14</xdr:col>
                    <xdr:colOff>9525</xdr:colOff>
                    <xdr:row>35</xdr:row>
                    <xdr:rowOff>19050</xdr:rowOff>
                  </from>
                  <to>
                    <xdr:col>15</xdr:col>
                    <xdr:colOff>57150</xdr:colOff>
                    <xdr:row>35</xdr:row>
                    <xdr:rowOff>228600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14</xdr:col>
                    <xdr:colOff>9525</xdr:colOff>
                    <xdr:row>36</xdr:row>
                    <xdr:rowOff>19050</xdr:rowOff>
                  </from>
                  <to>
                    <xdr:col>15</xdr:col>
                    <xdr:colOff>57150</xdr:colOff>
                    <xdr:row>36</xdr:row>
                    <xdr:rowOff>228600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14</xdr:col>
                    <xdr:colOff>9525</xdr:colOff>
                    <xdr:row>37</xdr:row>
                    <xdr:rowOff>19050</xdr:rowOff>
                  </from>
                  <to>
                    <xdr:col>15</xdr:col>
                    <xdr:colOff>57150</xdr:colOff>
                    <xdr:row>37</xdr:row>
                    <xdr:rowOff>228600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14</xdr:col>
                    <xdr:colOff>9525</xdr:colOff>
                    <xdr:row>21</xdr:row>
                    <xdr:rowOff>9525</xdr:rowOff>
                  </from>
                  <to>
                    <xdr:col>15</xdr:col>
                    <xdr:colOff>38100</xdr:colOff>
                    <xdr:row>21</xdr:row>
                    <xdr:rowOff>219075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14</xdr:col>
                    <xdr:colOff>9525</xdr:colOff>
                    <xdr:row>22</xdr:row>
                    <xdr:rowOff>9525</xdr:rowOff>
                  </from>
                  <to>
                    <xdr:col>15</xdr:col>
                    <xdr:colOff>38100</xdr:colOff>
                    <xdr:row>22</xdr:row>
                    <xdr:rowOff>219075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14</xdr:col>
                    <xdr:colOff>9525</xdr:colOff>
                    <xdr:row>23</xdr:row>
                    <xdr:rowOff>9525</xdr:rowOff>
                  </from>
                  <to>
                    <xdr:col>15</xdr:col>
                    <xdr:colOff>38100</xdr:colOff>
                    <xdr:row>23</xdr:row>
                    <xdr:rowOff>219075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14</xdr:col>
                    <xdr:colOff>9525</xdr:colOff>
                    <xdr:row>24</xdr:row>
                    <xdr:rowOff>9525</xdr:rowOff>
                  </from>
                  <to>
                    <xdr:col>15</xdr:col>
                    <xdr:colOff>38100</xdr:colOff>
                    <xdr:row>24</xdr:row>
                    <xdr:rowOff>219075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14</xdr:col>
                    <xdr:colOff>9525</xdr:colOff>
                    <xdr:row>25</xdr:row>
                    <xdr:rowOff>9525</xdr:rowOff>
                  </from>
                  <to>
                    <xdr:col>15</xdr:col>
                    <xdr:colOff>38100</xdr:colOff>
                    <xdr:row>25</xdr:row>
                    <xdr:rowOff>219075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14</xdr:col>
                    <xdr:colOff>9525</xdr:colOff>
                    <xdr:row>26</xdr:row>
                    <xdr:rowOff>9525</xdr:rowOff>
                  </from>
                  <to>
                    <xdr:col>15</xdr:col>
                    <xdr:colOff>38100</xdr:colOff>
                    <xdr:row>26</xdr:row>
                    <xdr:rowOff>219075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14</xdr:col>
                    <xdr:colOff>9525</xdr:colOff>
                    <xdr:row>27</xdr:row>
                    <xdr:rowOff>9525</xdr:rowOff>
                  </from>
                  <to>
                    <xdr:col>15</xdr:col>
                    <xdr:colOff>38100</xdr:colOff>
                    <xdr:row>27</xdr:row>
                    <xdr:rowOff>219075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14</xdr:col>
                    <xdr:colOff>9525</xdr:colOff>
                    <xdr:row>28</xdr:row>
                    <xdr:rowOff>9525</xdr:rowOff>
                  </from>
                  <to>
                    <xdr:col>15</xdr:col>
                    <xdr:colOff>38100</xdr:colOff>
                    <xdr:row>28</xdr:row>
                    <xdr:rowOff>219075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14</xdr:col>
                    <xdr:colOff>9525</xdr:colOff>
                    <xdr:row>43</xdr:row>
                    <xdr:rowOff>19050</xdr:rowOff>
                  </from>
                  <to>
                    <xdr:col>15</xdr:col>
                    <xdr:colOff>57150</xdr:colOff>
                    <xdr:row>43</xdr:row>
                    <xdr:rowOff>228600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24" r:id="rId27"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28025" r:id="rId28"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3464-41AC-4606-8F52-400DFE899995}">
  <sheetPr codeName="Sheet14">
    <tabColor theme="8" tint="0.79998168889431442"/>
  </sheetPr>
  <dimension ref="A1:AK16"/>
  <sheetViews>
    <sheetView showGridLines="0" view="pageBreakPreview" zoomScale="70" zoomScaleNormal="70" zoomScaleSheetLayoutView="70" workbookViewId="0">
      <selection activeCell="A6" sqref="A6:B6"/>
    </sheetView>
  </sheetViews>
  <sheetFormatPr defaultColWidth="9" defaultRowHeight="13.5"/>
  <cols>
    <col min="1" max="26" width="4.125" style="92" customWidth="1"/>
    <col min="27" max="29" width="2.5" style="92" customWidth="1"/>
    <col min="30" max="30" width="9" style="92"/>
    <col min="31" max="36" width="0" style="92" hidden="1" customWidth="1"/>
    <col min="37" max="16384" width="9" style="92"/>
  </cols>
  <sheetData>
    <row r="1" spans="1:37" ht="27.75" customHeight="1">
      <c r="A1" s="591" t="s">
        <v>234</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row>
    <row r="2" spans="1:37" ht="81" customHeight="1">
      <c r="A2" s="592" t="s">
        <v>254</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row>
    <row r="3" spans="1:37" ht="26.25" customHeight="1" thickBot="1">
      <c r="A3" s="93"/>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row>
    <row r="4" spans="1:37" ht="26.25" customHeight="1">
      <c r="A4" s="594" t="s">
        <v>34</v>
      </c>
      <c r="B4" s="586"/>
      <c r="C4" s="586" t="s">
        <v>35</v>
      </c>
      <c r="D4" s="586"/>
      <c r="E4" s="586"/>
      <c r="F4" s="586"/>
      <c r="G4" s="585" t="s">
        <v>235</v>
      </c>
      <c r="H4" s="586"/>
      <c r="I4" s="585" t="s">
        <v>236</v>
      </c>
      <c r="J4" s="586"/>
      <c r="K4" s="585" t="s">
        <v>237</v>
      </c>
      <c r="L4" s="586"/>
      <c r="M4" s="585" t="s">
        <v>238</v>
      </c>
      <c r="N4" s="586"/>
      <c r="O4" s="585" t="s">
        <v>239</v>
      </c>
      <c r="P4" s="585"/>
      <c r="Q4" s="585" t="s">
        <v>240</v>
      </c>
      <c r="R4" s="585"/>
      <c r="S4" s="585" t="s">
        <v>241</v>
      </c>
      <c r="T4" s="586"/>
      <c r="U4" s="585" t="s">
        <v>242</v>
      </c>
      <c r="V4" s="586"/>
      <c r="W4" s="585" t="s">
        <v>243</v>
      </c>
      <c r="X4" s="586"/>
      <c r="Y4" s="585" t="s">
        <v>244</v>
      </c>
      <c r="Z4" s="586"/>
      <c r="AA4" s="585" t="s">
        <v>245</v>
      </c>
      <c r="AB4" s="586"/>
      <c r="AC4" s="588"/>
      <c r="AD4" s="94"/>
      <c r="AE4" s="94"/>
      <c r="AF4" s="590"/>
      <c r="AG4" s="590"/>
      <c r="AH4" s="590"/>
      <c r="AI4" s="590"/>
      <c r="AJ4" s="590"/>
      <c r="AK4" s="94"/>
    </row>
    <row r="5" spans="1:37" ht="26.25" customHeight="1" thickBot="1">
      <c r="A5" s="595"/>
      <c r="B5" s="587"/>
      <c r="C5" s="587"/>
      <c r="D5" s="587"/>
      <c r="E5" s="587"/>
      <c r="F5" s="587"/>
      <c r="G5" s="587"/>
      <c r="H5" s="587"/>
      <c r="I5" s="587"/>
      <c r="J5" s="587"/>
      <c r="K5" s="587"/>
      <c r="L5" s="587"/>
      <c r="M5" s="587"/>
      <c r="N5" s="587"/>
      <c r="O5" s="596"/>
      <c r="P5" s="596"/>
      <c r="Q5" s="596"/>
      <c r="R5" s="596"/>
      <c r="S5" s="587"/>
      <c r="T5" s="587"/>
      <c r="U5" s="587"/>
      <c r="V5" s="587"/>
      <c r="W5" s="587"/>
      <c r="X5" s="587"/>
      <c r="Y5" s="587"/>
      <c r="Z5" s="587"/>
      <c r="AA5" s="587"/>
      <c r="AB5" s="587"/>
      <c r="AC5" s="589"/>
      <c r="AD5" s="94"/>
      <c r="AE5" s="95" t="s">
        <v>246</v>
      </c>
      <c r="AF5" s="96" t="s">
        <v>247</v>
      </c>
      <c r="AG5" s="97" t="s">
        <v>248</v>
      </c>
      <c r="AH5" s="96" t="s">
        <v>249</v>
      </c>
      <c r="AI5" s="96" t="s">
        <v>250</v>
      </c>
      <c r="AJ5" s="96" t="s">
        <v>251</v>
      </c>
      <c r="AK5" s="94"/>
    </row>
    <row r="6" spans="1:37" ht="26.25" customHeight="1">
      <c r="A6" s="582"/>
      <c r="B6" s="583"/>
      <c r="C6" s="584"/>
      <c r="D6" s="584"/>
      <c r="E6" s="584"/>
      <c r="F6" s="584"/>
      <c r="G6" s="580"/>
      <c r="H6" s="580"/>
      <c r="I6" s="580"/>
      <c r="J6" s="580"/>
      <c r="K6" s="580"/>
      <c r="L6" s="580"/>
      <c r="M6" s="580"/>
      <c r="N6" s="580"/>
      <c r="O6" s="580"/>
      <c r="P6" s="580"/>
      <c r="Q6" s="580"/>
      <c r="R6" s="580"/>
      <c r="S6" s="580"/>
      <c r="T6" s="580"/>
      <c r="U6" s="580"/>
      <c r="V6" s="580"/>
      <c r="W6" s="580"/>
      <c r="X6" s="580"/>
      <c r="Y6" s="581" t="str">
        <f>IF(Q6="","",IF(-1&lt;=Q6,"(1)",IF(G6+M6&gt;=3,"(3)1","(3)2")))</f>
        <v/>
      </c>
      <c r="Z6" s="581"/>
      <c r="AA6" s="578" t="str">
        <f>IF(Q6="","",IF(IF(Y6="(1)",AF6,AH6)&lt;0.05,"0.05",IF(Y6="(1)",AF6,AH6)))</f>
        <v/>
      </c>
      <c r="AB6" s="578"/>
      <c r="AC6" s="579"/>
      <c r="AD6" s="94"/>
      <c r="AE6" s="95">
        <f>IF(O6&gt;0.4,"0.4",O6)</f>
        <v>0</v>
      </c>
      <c r="AF6" s="95">
        <f>1.8-1.36*(G6*(AE6+S6)+M6*(AE6-Q6))^0.15-0.01*(6.14-G6)*((I6+0.5*K6)*AG6)^0.5</f>
        <v>1.8</v>
      </c>
      <c r="AG6" s="95">
        <f>IF(MAX(U6,W6)&lt;=0.9,MAX(U6,W6),"0.9")</f>
        <v>0</v>
      </c>
      <c r="AH6" s="95">
        <f>IF((G6+M6)&gt;=3,AI6,AJ6)</f>
        <v>1.8</v>
      </c>
      <c r="AI6" s="95">
        <f>1.8-1.47*(G6+M6)^0.08</f>
        <v>1.8</v>
      </c>
      <c r="AJ6" s="95">
        <f>1.8-1.36*(G6+M6)^0.15</f>
        <v>1.8</v>
      </c>
      <c r="AK6" s="94"/>
    </row>
    <row r="7" spans="1:37" ht="26.25" customHeight="1">
      <c r="A7" s="575"/>
      <c r="B7" s="576"/>
      <c r="C7" s="577"/>
      <c r="D7" s="577"/>
      <c r="E7" s="577"/>
      <c r="F7" s="577"/>
      <c r="G7" s="572"/>
      <c r="H7" s="572"/>
      <c r="I7" s="572"/>
      <c r="J7" s="572"/>
      <c r="K7" s="572"/>
      <c r="L7" s="572"/>
      <c r="M7" s="572"/>
      <c r="N7" s="572"/>
      <c r="O7" s="572"/>
      <c r="P7" s="572"/>
      <c r="Q7" s="572"/>
      <c r="R7" s="572"/>
      <c r="S7" s="572"/>
      <c r="T7" s="572"/>
      <c r="U7" s="572"/>
      <c r="V7" s="572"/>
      <c r="W7" s="572"/>
      <c r="X7" s="572"/>
      <c r="Y7" s="573" t="str">
        <f>IF(Q7="","",IF(-1&lt;=Q7,"(1)",IF(G7+M7&gt;=3,"(3)1","(3)2")))</f>
        <v/>
      </c>
      <c r="Z7" s="574"/>
      <c r="AA7" s="567" t="str">
        <f t="shared" ref="AA7:AA13" si="0">IF(Q7="","",IF(IF(Y7="(1)",AF7,AH7)&lt;0.05,"0.05",IF(Y7="(1)",AF7,AH7)))</f>
        <v/>
      </c>
      <c r="AB7" s="567"/>
      <c r="AC7" s="568"/>
      <c r="AD7" s="94"/>
      <c r="AE7" s="95">
        <f>IF(O7&gt;0.4,"0.4",O7)</f>
        <v>0</v>
      </c>
      <c r="AF7" s="95">
        <f>1.8-1.36*(G7*(AE7+S7)+M7*(AE7-Q7))^0.15-0.01*(6.14-G7)*((I7+0.5*K7)*AG7)^0.5</f>
        <v>1.8</v>
      </c>
      <c r="AG7" s="95">
        <f>IF(MAX(U7,W7)&lt;=0.9,MAX(U7,W7),"0.9")</f>
        <v>0</v>
      </c>
      <c r="AH7" s="95">
        <f>IF((G7+M7)&gt;=3,AI7,AJ7)</f>
        <v>1.8</v>
      </c>
      <c r="AI7" s="95">
        <f>1.8-1.47*(G7+M7)^0.08</f>
        <v>1.8</v>
      </c>
      <c r="AJ7" s="95">
        <f>1.8-1.36*(G7+M7)^0.15</f>
        <v>1.8</v>
      </c>
      <c r="AK7" s="94"/>
    </row>
    <row r="8" spans="1:37" ht="26.25" customHeight="1">
      <c r="A8" s="575"/>
      <c r="B8" s="576"/>
      <c r="C8" s="577"/>
      <c r="D8" s="577"/>
      <c r="E8" s="577"/>
      <c r="F8" s="577"/>
      <c r="G8" s="572"/>
      <c r="H8" s="572"/>
      <c r="I8" s="572"/>
      <c r="J8" s="572"/>
      <c r="K8" s="572"/>
      <c r="L8" s="572"/>
      <c r="M8" s="572"/>
      <c r="N8" s="572"/>
      <c r="O8" s="572"/>
      <c r="P8" s="572"/>
      <c r="Q8" s="572"/>
      <c r="R8" s="572"/>
      <c r="S8" s="572"/>
      <c r="T8" s="572"/>
      <c r="U8" s="572"/>
      <c r="V8" s="572"/>
      <c r="W8" s="572"/>
      <c r="X8" s="572"/>
      <c r="Y8" s="573" t="str">
        <f t="shared" ref="Y8:Y13" si="1">IF(Q8="","",IF(-1&lt;=Q8,"(1)",IF(G8+M8&gt;=3,"(3)1","(3)2")))</f>
        <v/>
      </c>
      <c r="Z8" s="574"/>
      <c r="AA8" s="567" t="str">
        <f t="shared" si="0"/>
        <v/>
      </c>
      <c r="AB8" s="567"/>
      <c r="AC8" s="568"/>
      <c r="AD8" s="94"/>
      <c r="AE8" s="95">
        <f>IF(O8&gt;0.4,"0.4",O8)</f>
        <v>0</v>
      </c>
      <c r="AF8" s="95">
        <f>1.8-1.36*(G8*(AE8+S8)+M8*(AE8-Q8))^0.15-0.01*(6.14-G8)*((I8+0.5*K8)*AG8)^0.5</f>
        <v>1.8</v>
      </c>
      <c r="AG8" s="95">
        <f>IF(MAX(U8,W8)&lt;=0.9,MAX(U8,W8),"0.9")</f>
        <v>0</v>
      </c>
      <c r="AH8" s="95">
        <f>IF((G8+M8)&gt;=3,AI8,AJ8)</f>
        <v>1.8</v>
      </c>
      <c r="AI8" s="95">
        <f>1.8-1.47*(G8+M8)^0.08</f>
        <v>1.8</v>
      </c>
      <c r="AJ8" s="95">
        <f>1.8-1.36*(G8+M8)^0.15</f>
        <v>1.8</v>
      </c>
      <c r="AK8" s="94"/>
    </row>
    <row r="9" spans="1:37" ht="26.25" customHeight="1">
      <c r="A9" s="575"/>
      <c r="B9" s="576"/>
      <c r="C9" s="577"/>
      <c r="D9" s="577"/>
      <c r="E9" s="577"/>
      <c r="F9" s="577"/>
      <c r="G9" s="572"/>
      <c r="H9" s="572"/>
      <c r="I9" s="572"/>
      <c r="J9" s="572"/>
      <c r="K9" s="572"/>
      <c r="L9" s="572"/>
      <c r="M9" s="572"/>
      <c r="N9" s="572"/>
      <c r="O9" s="572"/>
      <c r="P9" s="572"/>
      <c r="Q9" s="572"/>
      <c r="R9" s="572"/>
      <c r="S9" s="572"/>
      <c r="T9" s="572"/>
      <c r="U9" s="572"/>
      <c r="V9" s="572"/>
      <c r="W9" s="572"/>
      <c r="X9" s="572"/>
      <c r="Y9" s="573" t="str">
        <f t="shared" si="1"/>
        <v/>
      </c>
      <c r="Z9" s="574"/>
      <c r="AA9" s="567" t="str">
        <f t="shared" si="0"/>
        <v/>
      </c>
      <c r="AB9" s="567"/>
      <c r="AC9" s="568"/>
      <c r="AD9" s="94"/>
      <c r="AE9" s="95">
        <f t="shared" ref="AE9:AE11" si="2">IF(O9&gt;0.4,"0.4",O9)</f>
        <v>0</v>
      </c>
      <c r="AF9" s="95">
        <f t="shared" ref="AF9:AF11" si="3">1.8-1.36*(G9*(AE9+S9)+M9*(AE9-Q9))^0.15-0.01*(6.14-G9)*((I9+0.5*K9)*AG9)^0.5</f>
        <v>1.8</v>
      </c>
      <c r="AG9" s="95">
        <f t="shared" ref="AG9:AG11" si="4">IF(MAX(U9,W9)&lt;=0.9,MAX(U9,W9),"0.9")</f>
        <v>0</v>
      </c>
      <c r="AH9" s="95">
        <f t="shared" ref="AH9:AH11" si="5">IF((G9+M9)&gt;=3,AI9,AJ9)</f>
        <v>1.8</v>
      </c>
      <c r="AI9" s="95">
        <f t="shared" ref="AI9:AI11" si="6">1.8-1.47*(G9+M9)^0.08</f>
        <v>1.8</v>
      </c>
      <c r="AJ9" s="95">
        <f t="shared" ref="AJ9:AJ11" si="7">1.8-1.36*(G9+M9)^0.15</f>
        <v>1.8</v>
      </c>
      <c r="AK9" s="94"/>
    </row>
    <row r="10" spans="1:37" ht="26.25" customHeight="1">
      <c r="A10" s="575"/>
      <c r="B10" s="576"/>
      <c r="C10" s="577"/>
      <c r="D10" s="577"/>
      <c r="E10" s="577"/>
      <c r="F10" s="577"/>
      <c r="G10" s="572"/>
      <c r="H10" s="572"/>
      <c r="I10" s="572"/>
      <c r="J10" s="572"/>
      <c r="K10" s="572"/>
      <c r="L10" s="572"/>
      <c r="M10" s="572"/>
      <c r="N10" s="572"/>
      <c r="O10" s="572"/>
      <c r="P10" s="572"/>
      <c r="Q10" s="572"/>
      <c r="R10" s="572"/>
      <c r="S10" s="572"/>
      <c r="T10" s="572"/>
      <c r="U10" s="572"/>
      <c r="V10" s="572"/>
      <c r="W10" s="572"/>
      <c r="X10" s="572"/>
      <c r="Y10" s="573" t="str">
        <f t="shared" si="1"/>
        <v/>
      </c>
      <c r="Z10" s="574"/>
      <c r="AA10" s="567" t="str">
        <f t="shared" si="0"/>
        <v/>
      </c>
      <c r="AB10" s="567"/>
      <c r="AC10" s="568"/>
      <c r="AD10" s="94"/>
      <c r="AE10" s="95">
        <f t="shared" si="2"/>
        <v>0</v>
      </c>
      <c r="AF10" s="95">
        <f t="shared" si="3"/>
        <v>1.8</v>
      </c>
      <c r="AG10" s="95">
        <f t="shared" si="4"/>
        <v>0</v>
      </c>
      <c r="AH10" s="95">
        <f t="shared" si="5"/>
        <v>1.8</v>
      </c>
      <c r="AI10" s="95">
        <f t="shared" si="6"/>
        <v>1.8</v>
      </c>
      <c r="AJ10" s="95">
        <f t="shared" si="7"/>
        <v>1.8</v>
      </c>
      <c r="AK10" s="94"/>
    </row>
    <row r="11" spans="1:37" ht="26.25" customHeight="1">
      <c r="A11" s="575"/>
      <c r="B11" s="576"/>
      <c r="C11" s="577"/>
      <c r="D11" s="577"/>
      <c r="E11" s="577"/>
      <c r="F11" s="577"/>
      <c r="G11" s="572"/>
      <c r="H11" s="572"/>
      <c r="I11" s="572"/>
      <c r="J11" s="572"/>
      <c r="K11" s="572"/>
      <c r="L11" s="572"/>
      <c r="M11" s="572"/>
      <c r="N11" s="572"/>
      <c r="O11" s="572"/>
      <c r="P11" s="572"/>
      <c r="Q11" s="572"/>
      <c r="R11" s="572"/>
      <c r="S11" s="572"/>
      <c r="T11" s="572"/>
      <c r="U11" s="572"/>
      <c r="V11" s="572"/>
      <c r="W11" s="572"/>
      <c r="X11" s="572"/>
      <c r="Y11" s="573" t="str">
        <f t="shared" si="1"/>
        <v/>
      </c>
      <c r="Z11" s="574"/>
      <c r="AA11" s="567" t="str">
        <f t="shared" si="0"/>
        <v/>
      </c>
      <c r="AB11" s="567"/>
      <c r="AC11" s="568"/>
      <c r="AD11" s="94"/>
      <c r="AE11" s="95">
        <f t="shared" si="2"/>
        <v>0</v>
      </c>
      <c r="AF11" s="95">
        <f t="shared" si="3"/>
        <v>1.8</v>
      </c>
      <c r="AG11" s="95">
        <f t="shared" si="4"/>
        <v>0</v>
      </c>
      <c r="AH11" s="95">
        <f t="shared" si="5"/>
        <v>1.8</v>
      </c>
      <c r="AI11" s="95">
        <f t="shared" si="6"/>
        <v>1.8</v>
      </c>
      <c r="AJ11" s="95">
        <f t="shared" si="7"/>
        <v>1.8</v>
      </c>
      <c r="AK11" s="94"/>
    </row>
    <row r="12" spans="1:37" ht="26.25" customHeight="1">
      <c r="A12" s="575"/>
      <c r="B12" s="576"/>
      <c r="C12" s="577"/>
      <c r="D12" s="577"/>
      <c r="E12" s="577"/>
      <c r="F12" s="577"/>
      <c r="G12" s="572"/>
      <c r="H12" s="572"/>
      <c r="I12" s="572"/>
      <c r="J12" s="572"/>
      <c r="K12" s="572"/>
      <c r="L12" s="572"/>
      <c r="M12" s="572"/>
      <c r="N12" s="572"/>
      <c r="O12" s="572"/>
      <c r="P12" s="572"/>
      <c r="Q12" s="572"/>
      <c r="R12" s="572"/>
      <c r="S12" s="572"/>
      <c r="T12" s="572"/>
      <c r="U12" s="572"/>
      <c r="V12" s="572"/>
      <c r="W12" s="572"/>
      <c r="X12" s="572"/>
      <c r="Y12" s="573" t="str">
        <f t="shared" si="1"/>
        <v/>
      </c>
      <c r="Z12" s="574"/>
      <c r="AA12" s="567" t="str">
        <f t="shared" si="0"/>
        <v/>
      </c>
      <c r="AB12" s="567"/>
      <c r="AC12" s="568"/>
      <c r="AD12" s="94"/>
      <c r="AE12" s="95">
        <f>IF(O12&gt;0.4,"0.4",O12)</f>
        <v>0</v>
      </c>
      <c r="AF12" s="95">
        <f>1.8-1.36*(G12*(AE12+S12)+M12*(AE12-Q12))^0.15-0.01*(6.14-G12)*((I12+0.5*K12)*AG12)^0.5</f>
        <v>1.8</v>
      </c>
      <c r="AG12" s="95">
        <f>IF(MAX(U12,W12)&lt;=0.9,MAX(U12,W12),"0.9")</f>
        <v>0</v>
      </c>
      <c r="AH12" s="95">
        <f>IF((G12+M12)&gt;=3,AI12,AJ12)</f>
        <v>1.8</v>
      </c>
      <c r="AI12" s="95">
        <f>1.8-1.47*(G12+M12)^0.08</f>
        <v>1.8</v>
      </c>
      <c r="AJ12" s="95">
        <f>1.8-1.36*(G12+M12)^0.15</f>
        <v>1.8</v>
      </c>
      <c r="AK12" s="94"/>
    </row>
    <row r="13" spans="1:37" ht="26.25" customHeight="1" thickBot="1">
      <c r="A13" s="569"/>
      <c r="B13" s="570"/>
      <c r="C13" s="571"/>
      <c r="D13" s="571"/>
      <c r="E13" s="571"/>
      <c r="F13" s="571"/>
      <c r="G13" s="562"/>
      <c r="H13" s="562"/>
      <c r="I13" s="562"/>
      <c r="J13" s="562"/>
      <c r="K13" s="562"/>
      <c r="L13" s="562"/>
      <c r="M13" s="562"/>
      <c r="N13" s="562"/>
      <c r="O13" s="562"/>
      <c r="P13" s="562"/>
      <c r="Q13" s="562"/>
      <c r="R13" s="562"/>
      <c r="S13" s="562"/>
      <c r="T13" s="562"/>
      <c r="U13" s="562"/>
      <c r="V13" s="562"/>
      <c r="W13" s="562"/>
      <c r="X13" s="562"/>
      <c r="Y13" s="563" t="str">
        <f t="shared" si="1"/>
        <v/>
      </c>
      <c r="Z13" s="564"/>
      <c r="AA13" s="565" t="str">
        <f t="shared" si="0"/>
        <v/>
      </c>
      <c r="AB13" s="565"/>
      <c r="AC13" s="566"/>
      <c r="AD13" s="94"/>
      <c r="AE13" s="95">
        <f>IF(O13&gt;0.4,"0.4",O13)</f>
        <v>0</v>
      </c>
      <c r="AF13" s="95">
        <f>1.8-1.36*(G13*(AE13+S13)+M13*(AE13-Q13))^0.15-0.01*(6.14-G13)*((I13+0.5*K13)*AG13)^0.5</f>
        <v>1.8</v>
      </c>
      <c r="AG13" s="95">
        <f>IF(MAX(U13,W13)&lt;=0.9,MAX(U13,W13),"0.9")</f>
        <v>0</v>
      </c>
      <c r="AH13" s="95">
        <f>IF((G13+M13)&gt;=3,AI13,AJ13)</f>
        <v>1.8</v>
      </c>
      <c r="AI13" s="95">
        <f>1.8-1.47*(G13+M13)^0.08</f>
        <v>1.8</v>
      </c>
      <c r="AJ13" s="95">
        <f>1.8-1.36*(G13+M13)^0.15</f>
        <v>1.8</v>
      </c>
      <c r="AK13" s="94"/>
    </row>
    <row r="14" spans="1:37" ht="26.25" customHeight="1">
      <c r="A14" s="94" t="s">
        <v>252</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row>
    <row r="15" spans="1:37" ht="26.25" customHeight="1">
      <c r="A15" s="94" t="s">
        <v>253</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row>
    <row r="16" spans="1:37">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row>
  </sheetData>
  <sheetProtection algorithmName="SHA-512" hashValue="lcJr6fL67kYphPysA5SOZeTF8bc1FpDASqSiEorsJoHC9CbmYtLletZLkjNToY5qhc/ShjhF+3Q+WHGY9GArbA==" saltValue="zWPwtXnAOiidSduNU5Dh8w==" spinCount="100000" sheet="1" objects="1" scenarios="1" selectLockedCells="1"/>
  <mergeCells count="120">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C10:F10"/>
    <mergeCell ref="G10:H10"/>
    <mergeCell ref="I10:J10"/>
    <mergeCell ref="K10:L10"/>
    <mergeCell ref="M10:N10"/>
    <mergeCell ref="AA10:AC10"/>
    <mergeCell ref="O10:P10"/>
    <mergeCell ref="Q10:R10"/>
    <mergeCell ref="S10:T10"/>
    <mergeCell ref="U10:V10"/>
    <mergeCell ref="W10:X10"/>
    <mergeCell ref="Y10:Z10"/>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s>
  <phoneticPr fontId="4"/>
  <dataValidations count="1">
    <dataValidation type="list" allowBlank="1" showInputMessage="1" showErrorMessage="1" sqref="C6:F13" xr:uid="{022CDF6C-C7C6-49B6-8548-249AE19A305B}">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2.3[H28]</oddHeader>
    <oddFooter>&amp;Cⓒ　2022 hyoukakyoukai.All right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D363-0452-4F69-9F6B-E86CC63B99F3}">
  <sheetPr codeName="Sheet13">
    <tabColor rgb="FF00B050"/>
  </sheetPr>
  <dimension ref="B2:F18"/>
  <sheetViews>
    <sheetView showGridLines="0" view="pageBreakPreview" zoomScaleNormal="100" zoomScaleSheetLayoutView="100" workbookViewId="0">
      <selection activeCell="B16" sqref="B16"/>
    </sheetView>
  </sheetViews>
  <sheetFormatPr defaultColWidth="9" defaultRowHeight="12"/>
  <cols>
    <col min="1" max="1" width="0.875" style="59" customWidth="1"/>
    <col min="2" max="2" width="21.125" style="59" customWidth="1"/>
    <col min="3" max="3" width="3.5" style="81" bestFit="1" customWidth="1"/>
    <col min="4" max="4" width="20.375" style="59" customWidth="1"/>
    <col min="5" max="5" width="48.25" style="59" customWidth="1"/>
    <col min="6" max="6" width="12.75" style="59" bestFit="1" customWidth="1"/>
    <col min="7" max="7" width="0.875" style="59" customWidth="1"/>
    <col min="8" max="16384" width="9" style="59"/>
  </cols>
  <sheetData>
    <row r="2" spans="2:6">
      <c r="B2" s="59" t="s">
        <v>170</v>
      </c>
    </row>
    <row r="3" spans="2:6" s="81" customFormat="1" ht="24">
      <c r="B3" s="80" t="s">
        <v>171</v>
      </c>
      <c r="C3" s="60" t="s">
        <v>172</v>
      </c>
      <c r="D3" s="61" t="s">
        <v>173</v>
      </c>
      <c r="E3" s="62" t="s">
        <v>66</v>
      </c>
      <c r="F3" s="78" t="s">
        <v>174</v>
      </c>
    </row>
    <row r="4" spans="2:6">
      <c r="B4" s="597" t="s">
        <v>175</v>
      </c>
      <c r="C4" s="63" t="s">
        <v>176</v>
      </c>
      <c r="D4" s="64" t="s">
        <v>178</v>
      </c>
      <c r="E4" s="65" t="s">
        <v>177</v>
      </c>
      <c r="F4" s="598">
        <v>44298</v>
      </c>
    </row>
    <row r="5" spans="2:6">
      <c r="B5" s="286"/>
      <c r="C5" s="63" t="s">
        <v>180</v>
      </c>
      <c r="D5" s="66" t="s">
        <v>179</v>
      </c>
      <c r="E5" s="67" t="s">
        <v>182</v>
      </c>
      <c r="F5" s="599"/>
    </row>
    <row r="6" spans="2:6">
      <c r="B6" s="286"/>
      <c r="C6" s="79" t="s">
        <v>184</v>
      </c>
      <c r="D6" s="66" t="s">
        <v>181</v>
      </c>
      <c r="E6" s="67" t="s">
        <v>183</v>
      </c>
      <c r="F6" s="599"/>
    </row>
    <row r="7" spans="2:6">
      <c r="B7" s="600" t="s">
        <v>224</v>
      </c>
      <c r="C7" s="63" t="s">
        <v>176</v>
      </c>
      <c r="D7" s="83" t="s">
        <v>178</v>
      </c>
      <c r="E7" s="84" t="s">
        <v>225</v>
      </c>
      <c r="F7" s="598">
        <v>44424</v>
      </c>
    </row>
    <row r="8" spans="2:6">
      <c r="B8" s="600"/>
      <c r="C8" s="63" t="s">
        <v>180</v>
      </c>
      <c r="D8" s="87" t="s">
        <v>231</v>
      </c>
      <c r="E8" s="88" t="s">
        <v>232</v>
      </c>
      <c r="F8" s="599"/>
    </row>
    <row r="9" spans="2:6">
      <c r="B9" s="600"/>
      <c r="C9" s="82" t="s">
        <v>230</v>
      </c>
      <c r="D9" s="87" t="s">
        <v>227</v>
      </c>
      <c r="E9" s="88" t="s">
        <v>233</v>
      </c>
      <c r="F9" s="599"/>
    </row>
    <row r="10" spans="2:6">
      <c r="B10" s="600"/>
      <c r="C10" s="60" t="s">
        <v>260</v>
      </c>
      <c r="D10" s="85" t="s">
        <v>227</v>
      </c>
      <c r="E10" s="86" t="s">
        <v>228</v>
      </c>
      <c r="F10" s="601"/>
    </row>
    <row r="11" spans="2:6">
      <c r="B11" s="597" t="s">
        <v>284</v>
      </c>
      <c r="C11" s="131" t="s">
        <v>176</v>
      </c>
      <c r="D11" s="83" t="s">
        <v>273</v>
      </c>
      <c r="E11" s="84" t="s">
        <v>274</v>
      </c>
      <c r="F11" s="598">
        <v>44637</v>
      </c>
    </row>
    <row r="12" spans="2:6">
      <c r="B12" s="288"/>
      <c r="C12" s="131" t="s">
        <v>226</v>
      </c>
      <c r="D12" s="87" t="s">
        <v>229</v>
      </c>
      <c r="E12" s="88" t="s">
        <v>278</v>
      </c>
      <c r="F12" s="599"/>
    </row>
    <row r="13" spans="2:6">
      <c r="B13" s="288"/>
      <c r="C13" s="131" t="s">
        <v>230</v>
      </c>
      <c r="D13" s="85" t="s">
        <v>261</v>
      </c>
      <c r="E13" s="86" t="s">
        <v>262</v>
      </c>
      <c r="F13" s="599"/>
    </row>
    <row r="14" spans="2:6">
      <c r="B14" s="288"/>
      <c r="C14" s="132" t="s">
        <v>260</v>
      </c>
      <c r="D14" s="66" t="s">
        <v>231</v>
      </c>
      <c r="E14" s="133" t="s">
        <v>281</v>
      </c>
      <c r="F14" s="599"/>
    </row>
    <row r="15" spans="2:6">
      <c r="B15" s="601"/>
      <c r="C15" s="60" t="s">
        <v>279</v>
      </c>
      <c r="D15" s="134" t="s">
        <v>227</v>
      </c>
      <c r="E15" s="135" t="s">
        <v>280</v>
      </c>
      <c r="F15" s="602"/>
    </row>
    <row r="16" spans="2:6">
      <c r="B16" s="136" t="s">
        <v>285</v>
      </c>
      <c r="C16" s="131" t="s">
        <v>176</v>
      </c>
      <c r="D16" s="134" t="s">
        <v>229</v>
      </c>
      <c r="E16" s="135" t="s">
        <v>286</v>
      </c>
      <c r="F16" s="137">
        <v>44662</v>
      </c>
    </row>
    <row r="17" spans="3:3">
      <c r="C17" s="59"/>
    </row>
    <row r="18" spans="3:3">
      <c r="C18" s="59"/>
    </row>
  </sheetData>
  <sheetProtection algorithmName="SHA-512" hashValue="tqrwCQ3WYf1KWtJniGDUmWnvaJvAmrDkULryHfME8SBb9sASQK7hLhEQ10IHCf+WtyGlONjT53H/Q59afROJ2w==" saltValue="j+OGaNLtQOvmh5Vht9rvBQ==" spinCount="100000" sheet="1" objects="1" scenarios="1" selectLockedCells="1"/>
  <mergeCells count="6">
    <mergeCell ref="B4:B6"/>
    <mergeCell ref="F4:F6"/>
    <mergeCell ref="B7:B10"/>
    <mergeCell ref="F7:F10"/>
    <mergeCell ref="F11:F15"/>
    <mergeCell ref="B11:B15"/>
  </mergeCells>
  <phoneticPr fontId="4"/>
  <pageMargins left="0.70866141732283472" right="0.70866141732283472" top="0.74803149606299213" bottom="0.74803149606299213" header="0.31496062992125984" footer="0.31496062992125984"/>
  <pageSetup paperSize="9" scale="83" orientation="portrait" r:id="rId1"/>
  <headerFooter>
    <oddHeader>&amp;Rver. 2.3[H28]</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はじめに（お読みください）</vt: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【付録】</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'はじめに（お読みください）'!Print_Area</vt:lpstr>
      <vt:lpstr>共通条件・結果!Print_Area</vt:lpstr>
      <vt:lpstr>更新履歴!Print_Area</vt:lpstr>
      <vt:lpstr>温度差係数</vt:lpstr>
      <vt:lpstr>'Ｃ（基礎）'!夏方位係数</vt:lpstr>
      <vt:lpstr>'Ｃ（基礎）'!冬方位係数</vt:lpstr>
      <vt:lpstr>'Ｃ（基礎）'!方位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012</cp:lastModifiedBy>
  <cp:lastPrinted>2022-04-11T06:22:05Z</cp:lastPrinted>
  <dcterms:created xsi:type="dcterms:W3CDTF">2001-06-12T05:58:42Z</dcterms:created>
  <dcterms:modified xsi:type="dcterms:W3CDTF">2022-04-11T09:46:49Z</dcterms:modified>
</cp:coreProperties>
</file>